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035" activeTab="0"/>
  </bookViews>
  <sheets>
    <sheet name="ФОТ нал+РВ" sheetId="1" r:id="rId1"/>
    <sheet name="Лист1" sheetId="2" state="hidden" r:id="rId2"/>
    <sheet name="Лист2" sheetId="3" r:id="rId3"/>
  </sheets>
  <definedNames>
    <definedName name="_xlfn.AGGREGATE" hidden="1">#NAME?</definedName>
    <definedName name="_xlnm._FilterDatabase" localSheetId="1" hidden="1">'Лист1'!$A$14:$F$14</definedName>
    <definedName name="_xlnm.Print_Area" localSheetId="1">'Лист1'!$A$1:$F$41</definedName>
    <definedName name="_xlnm.Print_Area" localSheetId="0">'ФОТ нал+РВ'!$A$1:$N$139</definedName>
  </definedNames>
  <calcPr fullCalcOnLoad="1"/>
</workbook>
</file>

<file path=xl/sharedStrings.xml><?xml version="1.0" encoding="utf-8"?>
<sst xmlns="http://schemas.openxmlformats.org/spreadsheetml/2006/main" count="363" uniqueCount="206">
  <si>
    <t>№</t>
  </si>
  <si>
    <t>шт</t>
  </si>
  <si>
    <t>Найменування</t>
  </si>
  <si>
    <t>ЗАМОВНИК</t>
  </si>
  <si>
    <t xml:space="preserve"> ПІДРЯДНИК</t>
  </si>
  <si>
    <t>Ціна,грн., без ПДВ</t>
  </si>
  <si>
    <t>Сума грн., без ПДВ</t>
  </si>
  <si>
    <t>Об'єм</t>
  </si>
  <si>
    <t>приймання виконаних будівельних робіт</t>
  </si>
  <si>
    <t>Підприємство, організація - ТОВ «РЕСТ-ВЕРУМ»</t>
  </si>
  <si>
    <t>Підрядник - ТОВ «РЕСТ-ВЕРУМ»</t>
  </si>
  <si>
    <t>Од. вим.</t>
  </si>
  <si>
    <t>Ідентифікаційний код ЄДРПОУ - (39646263)</t>
  </si>
  <si>
    <t>Замовник - ОК «ЖБК «НОВА ОСЕЛЯ»</t>
  </si>
  <si>
    <t>Назва об'єкту: Комплекс будівельно-монтажних  робіт, на замовлення ОК «ЖБК «НОВА ОСЕЛЯ»</t>
  </si>
  <si>
    <t>Договір підряду № 15-11/2015 від 15.11.2015 р.</t>
  </si>
  <si>
    <t xml:space="preserve">  ____________________ /Бомко А.М./</t>
  </si>
  <si>
    <t>на Будівництві житлового будинку що знаходиться за адресою: м. Київ, пров. Московський, 2е</t>
  </si>
  <si>
    <t>Всього БМР</t>
  </si>
  <si>
    <t>Всього матеріали</t>
  </si>
  <si>
    <t>Разом по Акту виконаних робіт без ПДВ</t>
  </si>
  <si>
    <t>Разом по Акту виконаних робіт з ПДВ</t>
  </si>
  <si>
    <t>ПДВ 20 %</t>
  </si>
  <si>
    <t>Голова Правління  ОК "ЖБК НОВА ОСЕЛЯ"</t>
  </si>
  <si>
    <t>Директор   ТОВ "РЕСТ-ВЕРУМ"</t>
  </si>
  <si>
    <t>кг</t>
  </si>
  <si>
    <t>"___" __________________ 201___ року</t>
  </si>
  <si>
    <t>м2</t>
  </si>
  <si>
    <t>Загальновиробничі витрати (4% від БМР)</t>
  </si>
  <si>
    <t xml:space="preserve"> _____________________/Абросимов О.В./   </t>
  </si>
  <si>
    <t>ФОТ</t>
  </si>
  <si>
    <t>За ед.</t>
  </si>
  <si>
    <t>итого</t>
  </si>
  <si>
    <t>работы б/н</t>
  </si>
  <si>
    <t>работы нал</t>
  </si>
  <si>
    <t>конверт 14%</t>
  </si>
  <si>
    <t>затраты -10%</t>
  </si>
  <si>
    <t>профит</t>
  </si>
  <si>
    <t>посл.</t>
  </si>
  <si>
    <t>Утримання МТК Еко-СІТІ (біотуалет) 05.2016</t>
  </si>
  <si>
    <t>Підготовка поверхні</t>
  </si>
  <si>
    <t>Гідроізоляція ГИ1 (одлнокомпонентная), 25 кг</t>
  </si>
  <si>
    <t>Влаштування ухилів поверхонь на злив</t>
  </si>
  <si>
    <t>Суміш стяжка Ст5 м200</t>
  </si>
  <si>
    <t>Розділ 4 Влатування гідроізоляції та розухилу по балконах</t>
  </si>
  <si>
    <t>Влашт-ня гідроізоляції (2 шари 3 мм стіна 150 мм/підлога 150 мм)</t>
  </si>
  <si>
    <t>ФОТ Саша/Петя</t>
  </si>
  <si>
    <t>посл</t>
  </si>
  <si>
    <r>
      <t xml:space="preserve">Закладання газоблоком стояків 0,3х0,4х3 на першому поверсі </t>
    </r>
    <r>
      <rPr>
        <sz val="11"/>
        <rFont val="Arial"/>
        <family val="2"/>
      </rPr>
      <t>(включно із спуском Газоблоку з 6 поверху, підрізкою, тощо)</t>
    </r>
  </si>
  <si>
    <t>раб с ПДВ</t>
  </si>
  <si>
    <t>Кладка газоблоку вентканалів 6, 7 пов.</t>
  </si>
  <si>
    <t>Газоблок Стоунлайт 600х200х100</t>
  </si>
  <si>
    <t>Суміш для мурування Ізофікс</t>
  </si>
  <si>
    <t>Влаштування тимчасових дверей виходів із замками на чердак з підручних матеріалів</t>
  </si>
  <si>
    <t>Воашиування опори для воріт, встановлення петель</t>
  </si>
  <si>
    <t>АКТ №9</t>
  </si>
  <si>
    <t>за липень 2016 року</t>
  </si>
  <si>
    <t>Розділ 1  Загально-будівельні та інші роботи та витрати</t>
  </si>
  <si>
    <t>м.кв.</t>
  </si>
  <si>
    <t xml:space="preserve">Замовник - </t>
  </si>
  <si>
    <t xml:space="preserve">Договір підряду № </t>
  </si>
  <si>
    <t>Машини та механізми</t>
  </si>
  <si>
    <t>ВС 1,5%</t>
  </si>
  <si>
    <t>НДФЛ 18%</t>
  </si>
  <si>
    <t>ЄСВ 22%</t>
  </si>
  <si>
    <t>Ціна грн., без ПДВ</t>
  </si>
  <si>
    <t>ФОП</t>
  </si>
  <si>
    <t>Податок на додану вартість (ПДВ)</t>
  </si>
  <si>
    <t>Норма витрат</t>
  </si>
  <si>
    <t>Засоби індивідуального захисту</t>
  </si>
  <si>
    <t>Витратні матеріали</t>
  </si>
  <si>
    <t>грн. за од.</t>
  </si>
  <si>
    <t>Ітого, грн.</t>
  </si>
  <si>
    <t>Всього оплата праці за виконання БМР (за дог. ЦПД)</t>
  </si>
  <si>
    <t>Всього оплата праці за виконання БМР (готівка)</t>
  </si>
  <si>
    <t>Всього (за договіром підряду), грн. без ПДВ</t>
  </si>
  <si>
    <t>Разом в т.ч. ПДВ</t>
  </si>
  <si>
    <t>Назва об'єкту: Багатоквартирний житловий будинок з вбудованими нежитловими приміщеннями</t>
  </si>
  <si>
    <t>в м. Ірпінь в межах вул. Г.Сковороди та Західної</t>
  </si>
  <si>
    <t>Комерційна пропозиція</t>
  </si>
  <si>
    <t>Дохід підприємства (від БМР) грн.</t>
  </si>
  <si>
    <t>Розділ 1  Влаштування фундаменту</t>
  </si>
  <si>
    <t>Укладення ФБС блків</t>
  </si>
  <si>
    <t>м.куб.</t>
  </si>
  <si>
    <t>Цемент М500, 50 кг</t>
  </si>
  <si>
    <t>блоки ФБС 24-3-6 Т</t>
  </si>
  <si>
    <t>блоки ФБС 12-3-6 Т</t>
  </si>
  <si>
    <t>блоки ФБС 9-3-6 Т</t>
  </si>
  <si>
    <t>Гідроізоляція фундаменту</t>
  </si>
  <si>
    <t>Викопування траншеї</t>
  </si>
  <si>
    <t>Влаштування підушки</t>
  </si>
  <si>
    <t>пісок</t>
  </si>
  <si>
    <t>щебінь 20-30</t>
  </si>
  <si>
    <t>суміш С5</t>
  </si>
  <si>
    <t>Праймер бітумний ТехноНІКОЛЬ № 01, 20 л.</t>
  </si>
  <si>
    <t>т</t>
  </si>
  <si>
    <t>Биполь ЕПП 3,0 мм</t>
  </si>
  <si>
    <t>Газ Пропан</t>
  </si>
  <si>
    <t>л</t>
  </si>
  <si>
    <t>Інші витрати</t>
  </si>
  <si>
    <t>Всього матеріали, грн. без ПДВ</t>
  </si>
  <si>
    <t>Утеплення фундаменту (2 шари)</t>
  </si>
  <si>
    <t>дюбель з мет цв. 150х10</t>
  </si>
  <si>
    <t>піна монтажна</t>
  </si>
  <si>
    <t>Геомембрана ИЗОЛИТ 0,6мм</t>
  </si>
  <si>
    <t>Звортня засипка із влаштуванням дренажу фундаменту</t>
  </si>
  <si>
    <t>Кладка стін з газблоку 300 мм</t>
  </si>
  <si>
    <t>газблок 200х300х600</t>
  </si>
  <si>
    <t>Клей для ГБ, 25 кг</t>
  </si>
  <si>
    <t>Сітка просічно витяжна 17*40*0,5*0,5оц 1000-10000 ЭКОНОМ</t>
  </si>
  <si>
    <t>ЭПП (1200*600*50)</t>
  </si>
  <si>
    <t>Кладка стін з газблоку 100 мм</t>
  </si>
  <si>
    <t>Бетон Б25</t>
  </si>
  <si>
    <t>арматура 12 мм</t>
  </si>
  <si>
    <t>Розділ 2  Влаштування 1-го поверху</t>
  </si>
  <si>
    <t xml:space="preserve">Окна </t>
  </si>
  <si>
    <t>двери</t>
  </si>
  <si>
    <t>1й</t>
  </si>
  <si>
    <t>2й</t>
  </si>
  <si>
    <t>внут</t>
  </si>
  <si>
    <t>нар</t>
  </si>
  <si>
    <t>Влаштування утелення підлоги</t>
  </si>
  <si>
    <t>гідробар'єр</t>
  </si>
  <si>
    <t>ПСБ 25, 100 мм</t>
  </si>
  <si>
    <t>Влаштування стяжки підлоги 80 мм</t>
  </si>
  <si>
    <t>Розділ 3  Влаштування 2-го поверху</t>
  </si>
  <si>
    <t>Кладка стін з газблоку 200 мм</t>
  </si>
  <si>
    <t>Розділ 3  Влаштування перекриття покрівлі із утепленням 250 мм</t>
  </si>
  <si>
    <t>Влаштування монолітного перекриття 150 мм із армування 150х150</t>
  </si>
  <si>
    <t>арматура 14 мм</t>
  </si>
  <si>
    <t>саморізи для ГКЛ</t>
  </si>
  <si>
    <t>ГКЛ 9,5 мм, вологостійкий</t>
  </si>
  <si>
    <t>Утеплення поківлі</t>
  </si>
  <si>
    <t>Влаштування паробар'єру</t>
  </si>
  <si>
    <t>паробар'єр</t>
  </si>
  <si>
    <t>Влаштування гідробар'єру</t>
  </si>
  <si>
    <t>брус 30х100х4000</t>
  </si>
  <si>
    <t>цвях будівельний 70 мм</t>
  </si>
  <si>
    <t>Лати дерев'яні 50х150х6000</t>
  </si>
  <si>
    <t>Лати дерев'яні 100х250х6250</t>
  </si>
  <si>
    <t>брус 20х100х4000</t>
  </si>
  <si>
    <t>Влаштування Лат покрів-них по армопоясу та контробрешітка</t>
  </si>
  <si>
    <t>Влаштування підшивки стелі з ГКЛ у 2 шари</t>
  </si>
  <si>
    <t>Покриття покрівлі профлистом</t>
  </si>
  <si>
    <t>саморіз покрівельний 4,8х35 EPDM</t>
  </si>
  <si>
    <t>профлист ПС35</t>
  </si>
  <si>
    <t>газблок 100х300х600</t>
  </si>
  <si>
    <t>Влаштування парапетів з ГБ 100 мм Н300</t>
  </si>
  <si>
    <t>Мінеральна вата Ізовер Профі 100 мм</t>
  </si>
  <si>
    <t>Мінеральна вата Ізовер Профі 150 мм</t>
  </si>
  <si>
    <t>м.п.</t>
  </si>
  <si>
    <t>Елемент прімикання RAL____ 0,45 мм</t>
  </si>
  <si>
    <t xml:space="preserve">Влаштування прімикань покрівлі </t>
  </si>
  <si>
    <t xml:space="preserve">Влашт-ня дощозливної сист. покрівлі </t>
  </si>
  <si>
    <t>Ринви 3000х100</t>
  </si>
  <si>
    <t>Муфта ринви</t>
  </si>
  <si>
    <t>кроншщтейн для ринв</t>
  </si>
  <si>
    <t>воронка ринви</t>
  </si>
  <si>
    <t>заглушка ринв (л/п)</t>
  </si>
  <si>
    <t>трба 100х3000</t>
  </si>
  <si>
    <t>хомут труби</t>
  </si>
  <si>
    <t>муфта труби</t>
  </si>
  <si>
    <t>Розділ 4  Влаштування оздоблення фасадів із утепленням 150 мм</t>
  </si>
  <si>
    <t>Знепилення фасаду</t>
  </si>
  <si>
    <t>Приклеювання утелювача ПСБ25, 150 мм</t>
  </si>
  <si>
    <t>ПСБ25, 150 мм, Г1, ГОСТ</t>
  </si>
  <si>
    <t>Дюбель 10х220 STREZZAR з мет.цв.,терм.гол.,удл.расп.</t>
  </si>
  <si>
    <t>шт.</t>
  </si>
  <si>
    <t>Армування поверхні стін</t>
  </si>
  <si>
    <t>Профіль крапельник</t>
  </si>
  <si>
    <t>Профіль прімикання дл вікон/дверей</t>
  </si>
  <si>
    <t>Кут ПВХ</t>
  </si>
  <si>
    <t>Нанесення декоративного шару</t>
  </si>
  <si>
    <t>Грунтування фасаду</t>
  </si>
  <si>
    <t>Розділ 5  Влаштування Вікон та дверей зовнішніх</t>
  </si>
  <si>
    <t>Встановлення вікон</t>
  </si>
  <si>
    <t>Встановлення дверей</t>
  </si>
  <si>
    <t>ПОЛИМИН АС-7 ФАСАД-ГРУНТ 10л</t>
  </si>
  <si>
    <t>ПОЛИМИН П-19 ТЕПЛО-ФАСАД</t>
  </si>
  <si>
    <t>арм. Сітка 160 г/м²</t>
  </si>
  <si>
    <t>ПОЛИМИН П-20 ТЕПЛО-ФАСАД АРМ</t>
  </si>
  <si>
    <t>ПОЛИМИН АС-3 КОНТАКТ-ГРУНТ</t>
  </si>
  <si>
    <t>Штукатурка ПОЛИМИН; 25KG</t>
  </si>
  <si>
    <t>кВ</t>
  </si>
  <si>
    <t>грн</t>
  </si>
  <si>
    <t>Довідка про початок будівництва</t>
  </si>
  <si>
    <t>Введення в експлуатацію</t>
  </si>
  <si>
    <t>Влаштування свердловини на воду 80 м та В1</t>
  </si>
  <si>
    <t>Влаштування К2</t>
  </si>
  <si>
    <t>Розділ 6  Влаштування В1, К1, К2, Т1</t>
  </si>
  <si>
    <t>Влаштування К1</t>
  </si>
  <si>
    <t>Влаштування Т1</t>
  </si>
  <si>
    <t>кв</t>
  </si>
  <si>
    <t>грн/м.кв.</t>
  </si>
  <si>
    <t>Приєднання до електроостачання</t>
  </si>
  <si>
    <t>Будівельний паспорт</t>
  </si>
  <si>
    <t>Витати на будівництво в т.ч. В1,К1,К2,Т1</t>
  </si>
  <si>
    <t>сот</t>
  </si>
  <si>
    <t>Витати на землюну ділянку</t>
  </si>
  <si>
    <t>грн/сот</t>
  </si>
  <si>
    <t>дол.сша</t>
  </si>
  <si>
    <t>Реалізація</t>
  </si>
  <si>
    <t>Дохід від реалізації проекту</t>
  </si>
  <si>
    <t>Загальна собівартість проекту</t>
  </si>
  <si>
    <t>дол.сша/м.кв.</t>
  </si>
  <si>
    <t>Влаштування Електики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</si>
</sst>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0.00000"/>
    <numFmt numFmtId="196" formatCode="0.0000000"/>
    <numFmt numFmtId="197" formatCode="0.000000"/>
    <numFmt numFmtId="198" formatCode="0.0%"/>
    <numFmt numFmtId="199" formatCode="#,##0.00;[Red]\-#,##0.00"/>
    <numFmt numFmtId="200" formatCode="0.000;[Red]\-0.000"/>
    <numFmt numFmtId="201" formatCode="0.00;[Red]\-0.00"/>
    <numFmt numFmtId="202" formatCode="#0.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b/>
      <sz val="10"/>
      <name val="Arial Cyr"/>
      <family val="0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center" vertical="center" wrapText="1"/>
    </xf>
    <xf numFmtId="192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192" fontId="5" fillId="0" borderId="0" xfId="0" applyNumberFormat="1" applyFont="1" applyFill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vertical="center" wrapText="1"/>
    </xf>
    <xf numFmtId="192" fontId="8" fillId="34" borderId="12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right" vertical="center" wrapText="1" shrinkToFit="1"/>
    </xf>
    <xf numFmtId="0" fontId="10" fillId="0" borderId="13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 shrinkToFit="1"/>
    </xf>
    <xf numFmtId="0" fontId="5" fillId="0" borderId="0" xfId="0" applyFont="1" applyFill="1" applyAlignment="1">
      <alignment horizontal="left" vertical="center" wrapText="1" shrinkToFit="1"/>
    </xf>
    <xf numFmtId="192" fontId="4" fillId="0" borderId="0" xfId="0" applyNumberFormat="1" applyFont="1" applyFill="1" applyBorder="1" applyAlignment="1">
      <alignment horizontal="center" vertical="center" wrapText="1"/>
    </xf>
    <xf numFmtId="192" fontId="55" fillId="0" borderId="0" xfId="0" applyNumberFormat="1" applyFont="1" applyFill="1" applyBorder="1" applyAlignment="1">
      <alignment horizontal="center" vertical="center" wrapText="1"/>
    </xf>
    <xf numFmtId="2" fontId="55" fillId="0" borderId="0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14" fillId="34" borderId="20" xfId="0" applyNumberFormat="1" applyFont="1" applyFill="1" applyBorder="1" applyAlignment="1">
      <alignment horizontal="center" vertical="center" wrapText="1"/>
    </xf>
    <xf numFmtId="2" fontId="14" fillId="34" borderId="21" xfId="0" applyNumberFormat="1" applyFont="1" applyFill="1" applyBorder="1" applyAlignment="1">
      <alignment horizontal="center" vertical="center" wrapText="1"/>
    </xf>
    <xf numFmtId="2" fontId="15" fillId="0" borderId="22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4" fillId="0" borderId="22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5" fillId="0" borderId="23" xfId="0" applyNumberFormat="1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 shrinkToFit="1"/>
    </xf>
    <xf numFmtId="0" fontId="8" fillId="34" borderId="20" xfId="0" applyFont="1" applyFill="1" applyBorder="1" applyAlignment="1">
      <alignment horizontal="center" vertical="center" wrapText="1"/>
    </xf>
    <xf numFmtId="2" fontId="8" fillId="34" borderId="20" xfId="0" applyNumberFormat="1" applyFont="1" applyFill="1" applyBorder="1" applyAlignment="1">
      <alignment horizontal="center" vertical="center" wrapText="1"/>
    </xf>
    <xf numFmtId="192" fontId="8" fillId="34" borderId="21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right" vertical="center" wrapText="1" shrinkToFit="1"/>
    </xf>
    <xf numFmtId="0" fontId="9" fillId="0" borderId="18" xfId="0" applyFont="1" applyFill="1" applyBorder="1" applyAlignment="1">
      <alignment horizontal="center" vertical="center"/>
    </xf>
    <xf numFmtId="192" fontId="5" fillId="34" borderId="25" xfId="0" applyNumberFormat="1" applyFont="1" applyFill="1" applyBorder="1" applyAlignment="1">
      <alignment horizontal="center" vertical="center" wrapText="1"/>
    </xf>
    <xf numFmtId="192" fontId="4" fillId="0" borderId="11" xfId="0" applyNumberFormat="1" applyFont="1" applyFill="1" applyBorder="1" applyAlignment="1">
      <alignment horizontal="center" vertical="center"/>
    </xf>
    <xf numFmtId="192" fontId="5" fillId="0" borderId="11" xfId="0" applyNumberFormat="1" applyFont="1" applyFill="1" applyBorder="1" applyAlignment="1">
      <alignment horizontal="center" vertical="center"/>
    </xf>
    <xf numFmtId="192" fontId="4" fillId="0" borderId="26" xfId="0" applyNumberFormat="1" applyFont="1" applyFill="1" applyBorder="1" applyAlignment="1">
      <alignment horizontal="center" vertical="center"/>
    </xf>
    <xf numFmtId="10" fontId="5" fillId="33" borderId="14" xfId="0" applyNumberFormat="1" applyFont="1" applyFill="1" applyBorder="1" applyAlignment="1">
      <alignment horizontal="center" vertical="center" wrapText="1"/>
    </xf>
    <xf numFmtId="192" fontId="5" fillId="34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5" fillId="35" borderId="0" xfId="0" applyNumberFormat="1" applyFont="1" applyFill="1" applyBorder="1" applyAlignment="1">
      <alignment horizontal="center" vertical="center" wrapText="1"/>
    </xf>
    <xf numFmtId="192" fontId="8" fillId="34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 wrapText="1"/>
    </xf>
    <xf numFmtId="2" fontId="14" fillId="34" borderId="27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5" fillId="0" borderId="2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192" fontId="4" fillId="0" borderId="30" xfId="0" applyNumberFormat="1" applyFont="1" applyFill="1" applyBorder="1" applyAlignment="1">
      <alignment horizontal="center" vertical="center"/>
    </xf>
    <xf numFmtId="2" fontId="15" fillId="0" borderId="29" xfId="0" applyNumberFormat="1" applyFont="1" applyFill="1" applyBorder="1" applyAlignment="1">
      <alignment horizontal="center" vertical="center"/>
    </xf>
    <xf numFmtId="2" fontId="15" fillId="0" borderId="31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2" fontId="14" fillId="34" borderId="32" xfId="0" applyNumberFormat="1" applyFont="1" applyFill="1" applyBorder="1" applyAlignment="1">
      <alignment horizontal="center" vertical="center" wrapText="1"/>
    </xf>
    <xf numFmtId="192" fontId="5" fillId="34" borderId="24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2" fontId="14" fillId="34" borderId="25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5" fillId="0" borderId="30" xfId="0" applyNumberFormat="1" applyFont="1" applyFill="1" applyBorder="1" applyAlignment="1">
      <alignment horizontal="center" vertical="center"/>
    </xf>
    <xf numFmtId="2" fontId="15" fillId="0" borderId="26" xfId="0" applyNumberFormat="1" applyFont="1" applyFill="1" applyBorder="1" applyAlignment="1">
      <alignment horizontal="center" vertical="center"/>
    </xf>
    <xf numFmtId="2" fontId="15" fillId="0" borderId="33" xfId="0" applyNumberFormat="1" applyFont="1" applyFill="1" applyBorder="1" applyAlignment="1">
      <alignment horizontal="center" vertical="center"/>
    </xf>
    <xf numFmtId="2" fontId="14" fillId="0" borderId="33" xfId="0" applyNumberFormat="1" applyFont="1" applyFill="1" applyBorder="1" applyAlignment="1">
      <alignment horizontal="center" vertical="center"/>
    </xf>
    <xf numFmtId="2" fontId="15" fillId="0" borderId="34" xfId="0" applyNumberFormat="1" applyFont="1" applyFill="1" applyBorder="1" applyAlignment="1">
      <alignment horizontal="center" vertical="center"/>
    </xf>
    <xf numFmtId="2" fontId="15" fillId="0" borderId="35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92" fontId="5" fillId="0" borderId="30" xfId="0" applyNumberFormat="1" applyFont="1" applyFill="1" applyBorder="1" applyAlignment="1">
      <alignment horizontal="center" vertical="center"/>
    </xf>
    <xf numFmtId="2" fontId="14" fillId="0" borderId="29" xfId="0" applyNumberFormat="1" applyFont="1" applyFill="1" applyBorder="1" applyAlignment="1">
      <alignment horizontal="center" vertical="center"/>
    </xf>
    <xf numFmtId="2" fontId="14" fillId="0" borderId="34" xfId="0" applyNumberFormat="1" applyFont="1" applyFill="1" applyBorder="1" applyAlignment="1">
      <alignment horizontal="center" vertical="center"/>
    </xf>
    <xf numFmtId="2" fontId="14" fillId="0" borderId="31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30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92" fontId="5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2" fontId="9" fillId="0" borderId="12" xfId="0" applyNumberFormat="1" applyFont="1" applyFill="1" applyBorder="1" applyAlignment="1">
      <alignment horizontal="left" vertical="center"/>
    </xf>
    <xf numFmtId="192" fontId="4" fillId="0" borderId="30" xfId="0" applyNumberFormat="1" applyFont="1" applyFill="1" applyBorder="1" applyAlignment="1">
      <alignment horizontal="left" vertical="center"/>
    </xf>
    <xf numFmtId="2" fontId="15" fillId="0" borderId="29" xfId="0" applyNumberFormat="1" applyFont="1" applyFill="1" applyBorder="1" applyAlignment="1">
      <alignment horizontal="left" vertical="center"/>
    </xf>
    <xf numFmtId="2" fontId="15" fillId="0" borderId="34" xfId="0" applyNumberFormat="1" applyFont="1" applyFill="1" applyBorder="1" applyAlignment="1">
      <alignment horizontal="left" vertical="center"/>
    </xf>
    <xf numFmtId="2" fontId="15" fillId="0" borderId="31" xfId="0" applyNumberFormat="1" applyFont="1" applyFill="1" applyBorder="1" applyAlignment="1">
      <alignment horizontal="left" vertical="center"/>
    </xf>
    <xf numFmtId="2" fontId="15" fillId="0" borderId="12" xfId="0" applyNumberFormat="1" applyFont="1" applyFill="1" applyBorder="1" applyAlignment="1">
      <alignment horizontal="left" vertical="center"/>
    </xf>
    <xf numFmtId="2" fontId="15" fillId="0" borderId="30" xfId="0" applyNumberFormat="1" applyFont="1" applyFill="1" applyBorder="1" applyAlignment="1">
      <alignment horizontal="left" vertical="center"/>
    </xf>
    <xf numFmtId="2" fontId="4" fillId="0" borderId="22" xfId="0" applyNumberFormat="1" applyFont="1" applyFill="1" applyBorder="1" applyAlignment="1">
      <alignment horizontal="left" vertical="center"/>
    </xf>
    <xf numFmtId="2" fontId="9" fillId="0" borderId="17" xfId="0" applyNumberFormat="1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left" vertical="center"/>
    </xf>
    <xf numFmtId="192" fontId="4" fillId="34" borderId="0" xfId="0" applyNumberFormat="1" applyFont="1" applyFill="1" applyBorder="1" applyAlignment="1">
      <alignment horizontal="center" vertical="center" wrapText="1"/>
    </xf>
    <xf numFmtId="19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33" borderId="37" xfId="0" applyFont="1" applyFill="1" applyBorder="1" applyAlignment="1">
      <alignment horizontal="right" vertical="center" wrapText="1"/>
    </xf>
    <xf numFmtId="0" fontId="8" fillId="33" borderId="38" xfId="0" applyFont="1" applyFill="1" applyBorder="1" applyAlignment="1">
      <alignment horizontal="right" vertical="center" wrapText="1"/>
    </xf>
    <xf numFmtId="0" fontId="8" fillId="33" borderId="39" xfId="0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righ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192" fontId="4" fillId="0" borderId="44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/>
    </xf>
    <xf numFmtId="2" fontId="4" fillId="0" borderId="46" xfId="0" applyNumberFormat="1" applyFont="1" applyFill="1" applyBorder="1" applyAlignment="1">
      <alignment horizontal="center" vertical="center"/>
    </xf>
    <xf numFmtId="2" fontId="4" fillId="0" borderId="47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right" vertical="center" wrapText="1" shrinkToFit="1"/>
    </xf>
    <xf numFmtId="0" fontId="9" fillId="36" borderId="10" xfId="0" applyFont="1" applyFill="1" applyBorder="1" applyAlignment="1">
      <alignment horizontal="center" vertical="center"/>
    </xf>
    <xf numFmtId="2" fontId="9" fillId="36" borderId="10" xfId="0" applyNumberFormat="1" applyFont="1" applyFill="1" applyBorder="1" applyAlignment="1">
      <alignment horizontal="center" vertical="center"/>
    </xf>
    <xf numFmtId="192" fontId="4" fillId="36" borderId="11" xfId="0" applyNumberFormat="1" applyFont="1" applyFill="1" applyBorder="1" applyAlignment="1">
      <alignment horizontal="center" vertical="center"/>
    </xf>
    <xf numFmtId="2" fontId="15" fillId="36" borderId="22" xfId="0" applyNumberFormat="1" applyFont="1" applyFill="1" applyBorder="1" applyAlignment="1">
      <alignment horizontal="center" vertical="center"/>
    </xf>
    <xf numFmtId="2" fontId="15" fillId="36" borderId="33" xfId="0" applyNumberFormat="1" applyFont="1" applyFill="1" applyBorder="1" applyAlignment="1">
      <alignment horizontal="center" vertical="center"/>
    </xf>
    <xf numFmtId="2" fontId="15" fillId="36" borderId="14" xfId="0" applyNumberFormat="1" applyFont="1" applyFill="1" applyBorder="1" applyAlignment="1">
      <alignment horizontal="center" vertical="center"/>
    </xf>
    <xf numFmtId="2" fontId="15" fillId="36" borderId="10" xfId="0" applyNumberFormat="1" applyFont="1" applyFill="1" applyBorder="1" applyAlignment="1">
      <alignment horizontal="center" vertical="center"/>
    </xf>
    <xf numFmtId="2" fontId="15" fillId="36" borderId="11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  <xf numFmtId="2" fontId="9" fillId="36" borderId="17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 shrinkToFit="1"/>
    </xf>
    <xf numFmtId="2" fontId="55" fillId="0" borderId="0" xfId="0" applyNumberFormat="1" applyFont="1" applyFill="1" applyAlignment="1">
      <alignment horizontal="center" vertical="center" wrapText="1"/>
    </xf>
    <xf numFmtId="2" fontId="56" fillId="0" borderId="0" xfId="0" applyNumberFormat="1" applyFont="1" applyFill="1" applyBorder="1" applyAlignment="1">
      <alignment horizontal="center" vertical="center" wrapText="1"/>
    </xf>
    <xf numFmtId="192" fontId="55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140"/>
  <sheetViews>
    <sheetView tabSelected="1" view="pageBreakPreview" zoomScale="85" zoomScaleSheetLayoutView="85" zoomScalePageLayoutView="0" workbookViewId="0" topLeftCell="A1">
      <pane ySplit="11" topLeftCell="A12" activePane="bottomLeft" state="frozen"/>
      <selection pane="topLeft" activeCell="A13" sqref="A13"/>
      <selection pane="bottomLeft" activeCell="B123" sqref="B123"/>
    </sheetView>
  </sheetViews>
  <sheetFormatPr defaultColWidth="8.875" defaultRowHeight="15" customHeight="1" outlineLevelRow="1"/>
  <cols>
    <col min="1" max="1" width="4.00390625" style="1" customWidth="1"/>
    <col min="2" max="2" width="49.75390625" style="46" customWidth="1"/>
    <col min="3" max="3" width="9.125" style="1" customWidth="1"/>
    <col min="4" max="4" width="8.375" style="3" customWidth="1"/>
    <col min="5" max="5" width="7.75390625" style="4" customWidth="1"/>
    <col min="6" max="6" width="6.625" style="128" hidden="1" customWidth="1"/>
    <col min="7" max="7" width="8.25390625" style="128" hidden="1" customWidth="1"/>
    <col min="8" max="8" width="5.75390625" style="3" hidden="1" customWidth="1"/>
    <col min="9" max="11" width="5.875" style="3" hidden="1" customWidth="1"/>
    <col min="12" max="12" width="10.00390625" style="3" bestFit="1" customWidth="1"/>
    <col min="13" max="13" width="13.125" style="4" bestFit="1" customWidth="1"/>
    <col min="14" max="14" width="0.74609375" style="4" customWidth="1"/>
    <col min="15" max="15" width="11.625" style="48" bestFit="1" customWidth="1"/>
    <col min="16" max="16" width="10.00390625" style="48" customWidth="1"/>
    <col min="17" max="17" width="8.375" style="48" customWidth="1"/>
    <col min="18" max="18" width="10.75390625" style="48" bestFit="1" customWidth="1"/>
    <col min="19" max="19" width="3.25390625" style="43" customWidth="1"/>
    <col min="20" max="20" width="6.625" style="43" customWidth="1"/>
    <col min="21" max="21" width="3.875" style="43" customWidth="1"/>
    <col min="22" max="22" width="5.75390625" style="43" bestFit="1" customWidth="1"/>
    <col min="23" max="23" width="4.625" style="1" customWidth="1"/>
    <col min="24" max="24" width="8.875" style="1" customWidth="1"/>
    <col min="25" max="25" width="4.125" style="1" customWidth="1"/>
    <col min="26" max="16384" width="8.875" style="1" customWidth="1"/>
  </cols>
  <sheetData>
    <row r="1" spans="2:18" ht="12.75" hidden="1" outlineLevel="1">
      <c r="B1" s="46" t="s">
        <v>9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"/>
      <c r="O1" s="43"/>
      <c r="P1" s="43"/>
      <c r="Q1" s="43"/>
      <c r="R1" s="43"/>
    </row>
    <row r="2" spans="2:18" ht="12.75" hidden="1" outlineLevel="1">
      <c r="B2" s="46" t="s">
        <v>12</v>
      </c>
      <c r="L2" s="1"/>
      <c r="M2" s="1"/>
      <c r="N2" s="1"/>
      <c r="O2" s="43"/>
      <c r="P2" s="43"/>
      <c r="Q2" s="43"/>
      <c r="R2" s="43"/>
    </row>
    <row r="3" spans="2:18" ht="12.75" hidden="1" outlineLevel="1">
      <c r="B3" s="46" t="s">
        <v>59</v>
      </c>
      <c r="L3" s="1"/>
      <c r="M3" s="1"/>
      <c r="N3" s="1"/>
      <c r="O3" s="43"/>
      <c r="P3" s="43"/>
      <c r="Q3" s="43"/>
      <c r="R3" s="43"/>
    </row>
    <row r="4" spans="2:18" ht="12.75" hidden="1" outlineLevel="1">
      <c r="B4" s="46" t="s">
        <v>10</v>
      </c>
      <c r="L4" s="1"/>
      <c r="M4" s="1"/>
      <c r="N4" s="1"/>
      <c r="O4" s="43"/>
      <c r="P4" s="43"/>
      <c r="Q4" s="43"/>
      <c r="R4" s="43"/>
    </row>
    <row r="5" ht="12.75" hidden="1" outlineLevel="1">
      <c r="B5" s="46" t="s">
        <v>60</v>
      </c>
    </row>
    <row r="6" spans="2:18" ht="12.75" hidden="1" outlineLevel="1">
      <c r="B6" s="147" t="s">
        <v>77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2"/>
      <c r="O6" s="126"/>
      <c r="P6" s="126"/>
      <c r="Q6" s="126"/>
      <c r="R6" s="126"/>
    </row>
    <row r="7" spans="2:18" ht="12.75" hidden="1" outlineLevel="1">
      <c r="B7" s="147" t="s">
        <v>78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2"/>
      <c r="O7" s="126"/>
      <c r="P7" s="126"/>
      <c r="Q7" s="126"/>
      <c r="R7" s="126"/>
    </row>
    <row r="8" spans="2:18" ht="12.75" hidden="1" outlineLevel="1">
      <c r="B8" s="47"/>
      <c r="C8" s="11"/>
      <c r="D8" s="6"/>
      <c r="E8" s="12"/>
      <c r="F8" s="129"/>
      <c r="G8" s="129"/>
      <c r="H8" s="6"/>
      <c r="I8" s="6"/>
      <c r="J8" s="6"/>
      <c r="K8" s="6"/>
      <c r="L8" s="6"/>
      <c r="M8" s="12"/>
      <c r="N8" s="12"/>
      <c r="O8" s="127"/>
      <c r="P8" s="127"/>
      <c r="Q8" s="127"/>
      <c r="R8" s="127"/>
    </row>
    <row r="9" spans="1:16" ht="18" collapsed="1">
      <c r="A9" s="148" t="s">
        <v>79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1"/>
      <c r="O9" s="84"/>
      <c r="P9" s="84"/>
    </row>
    <row r="10" spans="2:22" s="191" customFormat="1" ht="13.5" thickBot="1">
      <c r="B10" s="192">
        <f>M138/(E10*3)</f>
        <v>0</v>
      </c>
      <c r="C10" s="191">
        <f>5.7*5.69</f>
        <v>32.433</v>
      </c>
      <c r="D10" s="193">
        <f>5.85*5.9</f>
        <v>34.515</v>
      </c>
      <c r="E10" s="193">
        <f>D10+C10</f>
        <v>66.94800000000001</v>
      </c>
      <c r="F10" s="194"/>
      <c r="G10" s="194"/>
      <c r="H10" s="49">
        <v>0.015</v>
      </c>
      <c r="I10" s="50">
        <v>0.18</v>
      </c>
      <c r="J10" s="50"/>
      <c r="K10" s="50">
        <v>0.22</v>
      </c>
      <c r="L10" s="49"/>
      <c r="M10" s="195"/>
      <c r="N10" s="195"/>
      <c r="O10" s="49"/>
      <c r="P10" s="49"/>
      <c r="Q10" s="49"/>
      <c r="R10" s="49"/>
      <c r="S10" s="196"/>
      <c r="T10" s="196"/>
      <c r="U10" s="196"/>
      <c r="V10" s="196"/>
    </row>
    <row r="11" spans="1:16" ht="31.5" customHeight="1">
      <c r="A11" s="65" t="s">
        <v>0</v>
      </c>
      <c r="B11" s="66" t="s">
        <v>2</v>
      </c>
      <c r="C11" s="67" t="s">
        <v>11</v>
      </c>
      <c r="D11" s="68" t="s">
        <v>7</v>
      </c>
      <c r="E11" s="75" t="s">
        <v>68</v>
      </c>
      <c r="F11" s="100" t="s">
        <v>71</v>
      </c>
      <c r="G11" s="56" t="s">
        <v>72</v>
      </c>
      <c r="H11" s="89" t="s">
        <v>62</v>
      </c>
      <c r="I11" s="55" t="s">
        <v>63</v>
      </c>
      <c r="J11" s="55" t="s">
        <v>66</v>
      </c>
      <c r="K11" s="105" t="s">
        <v>64</v>
      </c>
      <c r="L11" s="101" t="s">
        <v>65</v>
      </c>
      <c r="M11" s="69" t="s">
        <v>6</v>
      </c>
      <c r="N11" s="86"/>
      <c r="O11" s="80"/>
      <c r="P11" s="80"/>
    </row>
    <row r="12" spans="1:16" ht="15.75" thickBot="1">
      <c r="A12" s="172" t="s">
        <v>81</v>
      </c>
      <c r="B12" s="173"/>
      <c r="C12" s="174"/>
      <c r="D12" s="175"/>
      <c r="E12" s="176"/>
      <c r="F12" s="177"/>
      <c r="G12" s="178"/>
      <c r="H12" s="179"/>
      <c r="I12" s="180"/>
      <c r="J12" s="180"/>
      <c r="K12" s="181"/>
      <c r="L12" s="182"/>
      <c r="M12" s="183"/>
      <c r="N12" s="87"/>
      <c r="O12" s="45"/>
      <c r="P12" s="45"/>
    </row>
    <row r="13" spans="1:25" s="11" customFormat="1" ht="15">
      <c r="A13" s="71"/>
      <c r="B13" s="26" t="s">
        <v>89</v>
      </c>
      <c r="C13" s="23" t="s">
        <v>83</v>
      </c>
      <c r="D13" s="24">
        <f>(18.6*2+6*4)*1*1.5</f>
        <v>91.80000000000001</v>
      </c>
      <c r="E13" s="77"/>
      <c r="F13" s="59"/>
      <c r="G13" s="111"/>
      <c r="H13" s="91"/>
      <c r="I13" s="60"/>
      <c r="J13" s="60"/>
      <c r="K13" s="107"/>
      <c r="L13" s="103"/>
      <c r="M13" s="52">
        <f aca="true" t="shared" si="0" ref="M13:M32">L13*D13</f>
        <v>0</v>
      </c>
      <c r="N13" s="83"/>
      <c r="O13" s="81">
        <f>M13</f>
        <v>0</v>
      </c>
      <c r="P13" s="81"/>
      <c r="Q13" s="160"/>
      <c r="R13" s="161" t="s">
        <v>120</v>
      </c>
      <c r="S13" s="161"/>
      <c r="T13" s="161" t="s">
        <v>119</v>
      </c>
      <c r="U13" s="161"/>
      <c r="V13" s="161" t="s">
        <v>120</v>
      </c>
      <c r="W13" s="161"/>
      <c r="X13" s="161" t="s">
        <v>119</v>
      </c>
      <c r="Y13" s="162"/>
    </row>
    <row r="14" spans="1:25" s="11" customFormat="1" ht="15">
      <c r="A14" s="71"/>
      <c r="B14" s="26" t="s">
        <v>90</v>
      </c>
      <c r="C14" s="23" t="s">
        <v>83</v>
      </c>
      <c r="D14" s="24">
        <f>(D15+D16+D17)/1.8</f>
        <v>24.480000000000004</v>
      </c>
      <c r="E14" s="77"/>
      <c r="F14" s="59"/>
      <c r="G14" s="111"/>
      <c r="H14" s="91"/>
      <c r="I14" s="60"/>
      <c r="J14" s="60"/>
      <c r="K14" s="107"/>
      <c r="L14" s="103"/>
      <c r="M14" s="52">
        <f t="shared" si="0"/>
        <v>0</v>
      </c>
      <c r="N14" s="83"/>
      <c r="O14" s="81">
        <f>M14</f>
        <v>0</v>
      </c>
      <c r="P14" s="81"/>
      <c r="Q14" s="163" t="s">
        <v>115</v>
      </c>
      <c r="R14" s="145" t="s">
        <v>117</v>
      </c>
      <c r="S14" s="145"/>
      <c r="T14" s="145"/>
      <c r="U14" s="145"/>
      <c r="V14" s="144" t="s">
        <v>118</v>
      </c>
      <c r="W14" s="43"/>
      <c r="X14" s="84"/>
      <c r="Y14" s="164"/>
    </row>
    <row r="15" spans="1:25" ht="14.25">
      <c r="A15" s="131"/>
      <c r="B15" s="25" t="s">
        <v>91</v>
      </c>
      <c r="C15" s="20" t="s">
        <v>95</v>
      </c>
      <c r="D15" s="21">
        <f>(18.6*2+6*4)*1*0.2*1.8</f>
        <v>22.032000000000004</v>
      </c>
      <c r="E15" s="76">
        <v>1</v>
      </c>
      <c r="F15" s="57"/>
      <c r="G15" s="110"/>
      <c r="H15" s="90"/>
      <c r="I15" s="58"/>
      <c r="J15" s="58"/>
      <c r="K15" s="106"/>
      <c r="L15" s="102"/>
      <c r="M15" s="51">
        <f t="shared" si="0"/>
        <v>0</v>
      </c>
      <c r="N15" s="87"/>
      <c r="O15" s="45"/>
      <c r="P15" s="45">
        <f>M15</f>
        <v>0</v>
      </c>
      <c r="Q15" s="165"/>
      <c r="R15" s="48">
        <f>1.6*1.3</f>
        <v>2.08</v>
      </c>
      <c r="S15" s="43">
        <v>1</v>
      </c>
      <c r="V15" s="48">
        <f>1.6*1.3</f>
        <v>2.08</v>
      </c>
      <c r="W15" s="43">
        <v>2</v>
      </c>
      <c r="X15" s="43"/>
      <c r="Y15" s="166"/>
    </row>
    <row r="16" spans="1:25" ht="14.25">
      <c r="A16" s="131"/>
      <c r="B16" s="25" t="s">
        <v>92</v>
      </c>
      <c r="C16" s="20" t="s">
        <v>95</v>
      </c>
      <c r="D16" s="21">
        <f>(18.6*2+6*4)*1*0.1*1.8</f>
        <v>11.016000000000002</v>
      </c>
      <c r="E16" s="76">
        <v>1</v>
      </c>
      <c r="F16" s="57"/>
      <c r="G16" s="110"/>
      <c r="H16" s="90"/>
      <c r="I16" s="58"/>
      <c r="J16" s="58"/>
      <c r="K16" s="106"/>
      <c r="L16" s="102"/>
      <c r="M16" s="51">
        <f t="shared" si="0"/>
        <v>0</v>
      </c>
      <c r="N16" s="87"/>
      <c r="O16" s="45"/>
      <c r="P16" s="45">
        <f>M16</f>
        <v>0</v>
      </c>
      <c r="Q16" s="165"/>
      <c r="R16" s="144">
        <f>1.3*1.3</f>
        <v>1.6900000000000002</v>
      </c>
      <c r="S16" s="43">
        <v>1</v>
      </c>
      <c r="V16" s="43">
        <f>0.7*1.3</f>
        <v>0.9099999999999999</v>
      </c>
      <c r="W16" s="43">
        <v>1</v>
      </c>
      <c r="X16" s="43"/>
      <c r="Y16" s="166"/>
    </row>
    <row r="17" spans="1:25" ht="14.25">
      <c r="A17" s="131"/>
      <c r="B17" s="25" t="s">
        <v>93</v>
      </c>
      <c r="C17" s="20" t="s">
        <v>95</v>
      </c>
      <c r="D17" s="21">
        <f>(18.6*2+6*4)*1*0.1*1.8</f>
        <v>11.016000000000002</v>
      </c>
      <c r="E17" s="76">
        <v>1</v>
      </c>
      <c r="F17" s="57"/>
      <c r="G17" s="110"/>
      <c r="H17" s="90"/>
      <c r="I17" s="58"/>
      <c r="J17" s="58"/>
      <c r="K17" s="106"/>
      <c r="L17" s="102"/>
      <c r="M17" s="51">
        <f t="shared" si="0"/>
        <v>0</v>
      </c>
      <c r="N17" s="87"/>
      <c r="O17" s="45"/>
      <c r="P17" s="45">
        <f>M17</f>
        <v>0</v>
      </c>
      <c r="Q17" s="167" t="s">
        <v>116</v>
      </c>
      <c r="R17" s="45">
        <f>1.2*2.1</f>
        <v>2.52</v>
      </c>
      <c r="S17" s="43">
        <v>1</v>
      </c>
      <c r="T17" s="43">
        <f>0.8*2.1</f>
        <v>1.6800000000000002</v>
      </c>
      <c r="U17" s="43">
        <v>2</v>
      </c>
      <c r="W17" s="43"/>
      <c r="X17" s="43">
        <f>0.8*2.1</f>
        <v>1.6800000000000002</v>
      </c>
      <c r="Y17" s="166">
        <v>3</v>
      </c>
    </row>
    <row r="18" spans="1:25" s="11" customFormat="1" ht="15">
      <c r="A18" s="71"/>
      <c r="B18" s="26" t="s">
        <v>82</v>
      </c>
      <c r="C18" s="23" t="s">
        <v>1</v>
      </c>
      <c r="D18" s="24">
        <f>D19+D20+D21</f>
        <v>96</v>
      </c>
      <c r="E18" s="77"/>
      <c r="F18" s="59"/>
      <c r="G18" s="111"/>
      <c r="H18" s="91"/>
      <c r="I18" s="60"/>
      <c r="J18" s="60"/>
      <c r="K18" s="107"/>
      <c r="L18" s="103"/>
      <c r="M18" s="52">
        <f t="shared" si="0"/>
        <v>0</v>
      </c>
      <c r="N18" s="83"/>
      <c r="O18" s="81">
        <f>M18</f>
        <v>0</v>
      </c>
      <c r="P18" s="81"/>
      <c r="Q18" s="167"/>
      <c r="R18" s="45">
        <f>0.9*2.1</f>
        <v>1.8900000000000001</v>
      </c>
      <c r="S18" s="43">
        <v>1</v>
      </c>
      <c r="T18" s="43"/>
      <c r="U18" s="43"/>
      <c r="V18" s="43"/>
      <c r="W18" s="43"/>
      <c r="X18" s="84"/>
      <c r="Y18" s="164"/>
    </row>
    <row r="19" spans="1:25" ht="14.25">
      <c r="A19" s="131"/>
      <c r="B19" s="25" t="s">
        <v>85</v>
      </c>
      <c r="C19" s="20" t="s">
        <v>1</v>
      </c>
      <c r="D19" s="21">
        <f>18*3</f>
        <v>54</v>
      </c>
      <c r="E19" s="76">
        <v>1</v>
      </c>
      <c r="F19" s="57"/>
      <c r="G19" s="110"/>
      <c r="H19" s="90"/>
      <c r="I19" s="58"/>
      <c r="J19" s="58"/>
      <c r="K19" s="106"/>
      <c r="L19" s="102"/>
      <c r="M19" s="51">
        <f t="shared" si="0"/>
        <v>0</v>
      </c>
      <c r="N19" s="87"/>
      <c r="O19" s="45"/>
      <c r="P19" s="45">
        <f>M19</f>
        <v>0</v>
      </c>
      <c r="Q19" s="167"/>
      <c r="R19" s="45"/>
      <c r="W19" s="43"/>
      <c r="X19" s="43"/>
      <c r="Y19" s="166"/>
    </row>
    <row r="20" spans="1:25" ht="15" thickBot="1">
      <c r="A20" s="131"/>
      <c r="B20" s="25" t="s">
        <v>86</v>
      </c>
      <c r="C20" s="20" t="s">
        <v>1</v>
      </c>
      <c r="D20" s="21">
        <f>(10)*3</f>
        <v>30</v>
      </c>
      <c r="E20" s="76">
        <v>1</v>
      </c>
      <c r="F20" s="57"/>
      <c r="G20" s="110"/>
      <c r="H20" s="90"/>
      <c r="I20" s="58"/>
      <c r="J20" s="58"/>
      <c r="K20" s="106"/>
      <c r="L20" s="102"/>
      <c r="M20" s="51">
        <f t="shared" si="0"/>
        <v>0</v>
      </c>
      <c r="N20" s="87"/>
      <c r="O20" s="45"/>
      <c r="P20" s="45">
        <f>M20</f>
        <v>0</v>
      </c>
      <c r="Q20" s="168"/>
      <c r="R20" s="169">
        <f>R15*S15+R16*S16+R17*S17+R18*S18</f>
        <v>8.180000000000001</v>
      </c>
      <c r="S20" s="170" t="s">
        <v>27</v>
      </c>
      <c r="T20" s="169">
        <f>T17*U17+T16*U16+T18*U18</f>
        <v>3.3600000000000003</v>
      </c>
      <c r="U20" s="170" t="s">
        <v>27</v>
      </c>
      <c r="V20" s="169">
        <f>V15*W15+V16*W16+V17*W17+V18*W18</f>
        <v>5.07</v>
      </c>
      <c r="W20" s="170" t="s">
        <v>27</v>
      </c>
      <c r="X20" s="169">
        <f>X15*Y15+X16*Y16+X17*Y17+X18*Y18</f>
        <v>5.040000000000001</v>
      </c>
      <c r="Y20" s="171" t="s">
        <v>27</v>
      </c>
    </row>
    <row r="21" spans="1:18" ht="14.25">
      <c r="A21" s="131"/>
      <c r="B21" s="25" t="s">
        <v>87</v>
      </c>
      <c r="C21" s="20" t="s">
        <v>1</v>
      </c>
      <c r="D21" s="21">
        <f>4*3</f>
        <v>12</v>
      </c>
      <c r="E21" s="76">
        <v>1</v>
      </c>
      <c r="F21" s="57"/>
      <c r="G21" s="110"/>
      <c r="H21" s="90"/>
      <c r="I21" s="58"/>
      <c r="J21" s="58"/>
      <c r="K21" s="106"/>
      <c r="L21" s="102"/>
      <c r="M21" s="51">
        <f t="shared" si="0"/>
        <v>0</v>
      </c>
      <c r="N21" s="87"/>
      <c r="O21" s="45"/>
      <c r="P21" s="45">
        <f>M21</f>
        <v>0</v>
      </c>
      <c r="Q21" s="45"/>
      <c r="R21" s="45"/>
    </row>
    <row r="22" spans="1:18" ht="14.25">
      <c r="A22" s="131"/>
      <c r="B22" s="25" t="s">
        <v>84</v>
      </c>
      <c r="C22" s="20" t="s">
        <v>1</v>
      </c>
      <c r="D22" s="21">
        <v>30</v>
      </c>
      <c r="E22" s="76"/>
      <c r="F22" s="57"/>
      <c r="G22" s="110"/>
      <c r="H22" s="90"/>
      <c r="I22" s="58"/>
      <c r="J22" s="58"/>
      <c r="K22" s="106"/>
      <c r="L22" s="102"/>
      <c r="M22" s="51">
        <f t="shared" si="0"/>
        <v>0</v>
      </c>
      <c r="N22" s="87"/>
      <c r="O22" s="45"/>
      <c r="P22" s="45">
        <f>M22</f>
        <v>0</v>
      </c>
      <c r="Q22" s="45"/>
      <c r="R22" s="45"/>
    </row>
    <row r="23" spans="1:22" s="11" customFormat="1" ht="15">
      <c r="A23" s="71"/>
      <c r="B23" s="26" t="s">
        <v>88</v>
      </c>
      <c r="C23" s="23" t="s">
        <v>58</v>
      </c>
      <c r="D23" s="24">
        <f>((18.6*2+6*4))*(0.3+0.6+0.6+0.3+0.6+0.6+0.3)</f>
        <v>201.96</v>
      </c>
      <c r="E23" s="77"/>
      <c r="F23" s="59"/>
      <c r="G23" s="111"/>
      <c r="H23" s="91"/>
      <c r="I23" s="60"/>
      <c r="J23" s="60"/>
      <c r="K23" s="107"/>
      <c r="L23" s="103"/>
      <c r="M23" s="52">
        <f t="shared" si="0"/>
        <v>0</v>
      </c>
      <c r="N23" s="83"/>
      <c r="O23" s="81">
        <f>M23</f>
        <v>0</v>
      </c>
      <c r="P23" s="81"/>
      <c r="Q23" s="81"/>
      <c r="R23" s="81"/>
      <c r="S23" s="84"/>
      <c r="T23" s="84"/>
      <c r="U23" s="84"/>
      <c r="V23" s="84"/>
    </row>
    <row r="24" spans="1:18" ht="14.25">
      <c r="A24" s="131"/>
      <c r="B24" s="25" t="s">
        <v>94</v>
      </c>
      <c r="C24" s="20"/>
      <c r="D24" s="21">
        <f>D23*E24/20</f>
        <v>7.068599999999999</v>
      </c>
      <c r="E24" s="76">
        <v>0.7</v>
      </c>
      <c r="F24" s="57"/>
      <c r="G24" s="110"/>
      <c r="H24" s="90"/>
      <c r="I24" s="58"/>
      <c r="J24" s="58"/>
      <c r="K24" s="106"/>
      <c r="L24" s="102"/>
      <c r="M24" s="51">
        <f t="shared" si="0"/>
        <v>0</v>
      </c>
      <c r="N24" s="87"/>
      <c r="O24" s="45"/>
      <c r="P24" s="45">
        <f>M24</f>
        <v>0</v>
      </c>
      <c r="Q24" s="45"/>
      <c r="R24" s="45"/>
    </row>
    <row r="25" spans="1:18" ht="14.25">
      <c r="A25" s="131"/>
      <c r="B25" s="25" t="s">
        <v>96</v>
      </c>
      <c r="C25" s="20" t="s">
        <v>58</v>
      </c>
      <c r="D25" s="21">
        <f>D23*E25+0.4*30</f>
        <v>234.15600000000003</v>
      </c>
      <c r="E25" s="76">
        <v>1.1</v>
      </c>
      <c r="F25" s="57"/>
      <c r="G25" s="110"/>
      <c r="H25" s="90"/>
      <c r="I25" s="58"/>
      <c r="J25" s="58"/>
      <c r="K25" s="106"/>
      <c r="L25" s="102"/>
      <c r="M25" s="51">
        <f t="shared" si="0"/>
        <v>0</v>
      </c>
      <c r="N25" s="87"/>
      <c r="O25" s="45"/>
      <c r="P25" s="45">
        <f>M25</f>
        <v>0</v>
      </c>
      <c r="Q25" s="45"/>
      <c r="R25" s="45"/>
    </row>
    <row r="26" spans="1:18" ht="14.25">
      <c r="A26" s="131"/>
      <c r="B26" s="25" t="s">
        <v>97</v>
      </c>
      <c r="C26" s="20" t="s">
        <v>98</v>
      </c>
      <c r="D26" s="21">
        <f>E26*D23</f>
        <v>40.392</v>
      </c>
      <c r="E26" s="76">
        <v>0.2</v>
      </c>
      <c r="F26" s="57"/>
      <c r="G26" s="110"/>
      <c r="H26" s="90"/>
      <c r="I26" s="58"/>
      <c r="J26" s="58"/>
      <c r="K26" s="106"/>
      <c r="L26" s="102"/>
      <c r="M26" s="51">
        <f t="shared" si="0"/>
        <v>0</v>
      </c>
      <c r="N26" s="87"/>
      <c r="O26" s="45"/>
      <c r="P26" s="45">
        <f>M26</f>
        <v>0</v>
      </c>
      <c r="Q26" s="45"/>
      <c r="R26" s="45"/>
    </row>
    <row r="27" spans="1:22" s="11" customFormat="1" ht="15">
      <c r="A27" s="71"/>
      <c r="B27" s="26" t="s">
        <v>101</v>
      </c>
      <c r="C27" s="23" t="s">
        <v>58</v>
      </c>
      <c r="D27" s="24">
        <f>((18.6*2+6*2))*(0.3+0.6+0.6)</f>
        <v>73.80000000000001</v>
      </c>
      <c r="E27" s="77"/>
      <c r="F27" s="59"/>
      <c r="G27" s="111"/>
      <c r="H27" s="91"/>
      <c r="I27" s="60"/>
      <c r="J27" s="60"/>
      <c r="K27" s="107"/>
      <c r="L27" s="103"/>
      <c r="M27" s="52">
        <f t="shared" si="0"/>
        <v>0</v>
      </c>
      <c r="N27" s="83"/>
      <c r="O27" s="81">
        <f>M27</f>
        <v>0</v>
      </c>
      <c r="P27" s="81"/>
      <c r="Q27" s="81"/>
      <c r="R27" s="81"/>
      <c r="S27" s="84"/>
      <c r="T27" s="84"/>
      <c r="U27" s="84"/>
      <c r="V27" s="84"/>
    </row>
    <row r="28" spans="1:18" ht="14.25">
      <c r="A28" s="131"/>
      <c r="B28" s="25" t="s">
        <v>110</v>
      </c>
      <c r="C28" s="20" t="s">
        <v>58</v>
      </c>
      <c r="D28" s="21">
        <f>D27*E28</f>
        <v>162.36000000000004</v>
      </c>
      <c r="E28" s="76">
        <v>2.2</v>
      </c>
      <c r="F28" s="57"/>
      <c r="G28" s="110"/>
      <c r="H28" s="90"/>
      <c r="I28" s="58"/>
      <c r="J28" s="58"/>
      <c r="K28" s="106"/>
      <c r="L28" s="102"/>
      <c r="M28" s="51">
        <f t="shared" si="0"/>
        <v>0</v>
      </c>
      <c r="N28" s="87"/>
      <c r="O28" s="45"/>
      <c r="P28" s="45">
        <f>M28</f>
        <v>0</v>
      </c>
      <c r="Q28" s="45"/>
      <c r="R28" s="45"/>
    </row>
    <row r="29" spans="1:18" ht="14.25">
      <c r="A29" s="131"/>
      <c r="B29" s="25" t="s">
        <v>102</v>
      </c>
      <c r="C29" s="20" t="s">
        <v>1</v>
      </c>
      <c r="D29" s="21">
        <v>350</v>
      </c>
      <c r="E29" s="76">
        <v>8</v>
      </c>
      <c r="F29" s="57"/>
      <c r="G29" s="110"/>
      <c r="H29" s="90"/>
      <c r="I29" s="58"/>
      <c r="J29" s="58"/>
      <c r="K29" s="106"/>
      <c r="L29" s="102"/>
      <c r="M29" s="51">
        <f t="shared" si="0"/>
        <v>0</v>
      </c>
      <c r="N29" s="87"/>
      <c r="O29" s="45"/>
      <c r="P29" s="45">
        <f>M29</f>
        <v>0</v>
      </c>
      <c r="Q29" s="45"/>
      <c r="R29" s="45"/>
    </row>
    <row r="30" spans="1:18" ht="14.25">
      <c r="A30" s="131"/>
      <c r="B30" s="25" t="s">
        <v>103</v>
      </c>
      <c r="C30" s="20" t="s">
        <v>1</v>
      </c>
      <c r="D30" s="21">
        <v>2</v>
      </c>
      <c r="E30" s="76">
        <v>1</v>
      </c>
      <c r="F30" s="57"/>
      <c r="G30" s="110"/>
      <c r="H30" s="90"/>
      <c r="I30" s="58"/>
      <c r="J30" s="58"/>
      <c r="K30" s="106"/>
      <c r="L30" s="102"/>
      <c r="M30" s="51">
        <f t="shared" si="0"/>
        <v>0</v>
      </c>
      <c r="N30" s="87"/>
      <c r="O30" s="45"/>
      <c r="P30" s="45">
        <f>M30</f>
        <v>0</v>
      </c>
      <c r="Q30" s="45"/>
      <c r="R30" s="45"/>
    </row>
    <row r="31" spans="1:22" s="11" customFormat="1" ht="30">
      <c r="A31" s="71"/>
      <c r="B31" s="26" t="s">
        <v>105</v>
      </c>
      <c r="C31" s="23" t="s">
        <v>83</v>
      </c>
      <c r="D31" s="24">
        <v>45</v>
      </c>
      <c r="E31" s="77"/>
      <c r="F31" s="59"/>
      <c r="G31" s="111"/>
      <c r="H31" s="91"/>
      <c r="I31" s="60"/>
      <c r="J31" s="60"/>
      <c r="K31" s="107"/>
      <c r="L31" s="103"/>
      <c r="M31" s="52">
        <f t="shared" si="0"/>
        <v>0</v>
      </c>
      <c r="N31" s="83"/>
      <c r="O31" s="81">
        <f>M31</f>
        <v>0</v>
      </c>
      <c r="P31" s="81"/>
      <c r="Q31" s="81"/>
      <c r="R31" s="81"/>
      <c r="S31" s="84"/>
      <c r="T31" s="84"/>
      <c r="U31" s="84"/>
      <c r="V31" s="84"/>
    </row>
    <row r="32" spans="1:18" ht="14.25">
      <c r="A32" s="131"/>
      <c r="B32" s="25" t="s">
        <v>104</v>
      </c>
      <c r="C32" s="20" t="s">
        <v>58</v>
      </c>
      <c r="D32" s="1">
        <f>(18.6*2+6*2)*E32</f>
        <v>98.4</v>
      </c>
      <c r="E32" s="76">
        <v>2</v>
      </c>
      <c r="F32" s="57"/>
      <c r="G32" s="110"/>
      <c r="H32" s="90"/>
      <c r="I32" s="58"/>
      <c r="J32" s="58"/>
      <c r="K32" s="106"/>
      <c r="L32" s="102"/>
      <c r="M32" s="51">
        <f t="shared" si="0"/>
        <v>0</v>
      </c>
      <c r="N32" s="87"/>
      <c r="O32" s="45"/>
      <c r="P32" s="45">
        <f>M32</f>
        <v>0</v>
      </c>
      <c r="Q32" s="45"/>
      <c r="R32" s="45"/>
    </row>
    <row r="33" spans="1:18" ht="15">
      <c r="A33" s="172" t="s">
        <v>114</v>
      </c>
      <c r="B33" s="173"/>
      <c r="C33" s="174"/>
      <c r="D33" s="175"/>
      <c r="E33" s="176"/>
      <c r="F33" s="177"/>
      <c r="G33" s="178"/>
      <c r="H33" s="179"/>
      <c r="I33" s="180"/>
      <c r="J33" s="180"/>
      <c r="K33" s="181"/>
      <c r="L33" s="182"/>
      <c r="M33" s="183"/>
      <c r="N33" s="87"/>
      <c r="O33" s="45"/>
      <c r="P33" s="45"/>
      <c r="Q33" s="45"/>
      <c r="R33" s="45"/>
    </row>
    <row r="34" spans="1:22" s="11" customFormat="1" ht="15">
      <c r="A34" s="71"/>
      <c r="B34" s="26" t="s">
        <v>121</v>
      </c>
      <c r="C34" s="23" t="s">
        <v>58</v>
      </c>
      <c r="D34" s="24">
        <f>5.7*5.69*3</f>
        <v>97.299</v>
      </c>
      <c r="E34" s="77"/>
      <c r="F34" s="59"/>
      <c r="G34" s="111"/>
      <c r="H34" s="91"/>
      <c r="I34" s="60"/>
      <c r="J34" s="60"/>
      <c r="K34" s="107"/>
      <c r="L34" s="103"/>
      <c r="M34" s="52">
        <f>L34*D34</f>
        <v>0</v>
      </c>
      <c r="N34" s="83"/>
      <c r="O34" s="81">
        <f>M34</f>
        <v>0</v>
      </c>
      <c r="P34" s="81"/>
      <c r="Q34" s="81"/>
      <c r="R34" s="81"/>
      <c r="S34" s="84"/>
      <c r="T34" s="84"/>
      <c r="U34" s="84"/>
      <c r="V34" s="84"/>
    </row>
    <row r="35" spans="1:18" ht="14.25">
      <c r="A35" s="131"/>
      <c r="B35" s="25" t="s">
        <v>123</v>
      </c>
      <c r="C35" s="20" t="s">
        <v>83</v>
      </c>
      <c r="D35" s="21">
        <f>D34*E35*0.1</f>
        <v>9.7299</v>
      </c>
      <c r="E35" s="76">
        <v>1</v>
      </c>
      <c r="F35" s="57"/>
      <c r="G35" s="110"/>
      <c r="H35" s="90"/>
      <c r="I35" s="58"/>
      <c r="J35" s="58"/>
      <c r="K35" s="106"/>
      <c r="L35" s="102"/>
      <c r="M35" s="51">
        <f>L35*D35</f>
        <v>0</v>
      </c>
      <c r="N35" s="87"/>
      <c r="O35" s="45"/>
      <c r="P35" s="45">
        <f>M35</f>
        <v>0</v>
      </c>
      <c r="Q35" s="45"/>
      <c r="R35" s="45"/>
    </row>
    <row r="36" spans="1:18" ht="14.25">
      <c r="A36" s="131"/>
      <c r="B36" s="25" t="s">
        <v>122</v>
      </c>
      <c r="C36" s="20" t="s">
        <v>58</v>
      </c>
      <c r="D36" s="21">
        <f>D34*E36</f>
        <v>107.02890000000002</v>
      </c>
      <c r="E36" s="76">
        <v>1.1</v>
      </c>
      <c r="F36" s="57"/>
      <c r="G36" s="110"/>
      <c r="H36" s="90"/>
      <c r="I36" s="58"/>
      <c r="J36" s="58"/>
      <c r="K36" s="106"/>
      <c r="L36" s="102"/>
      <c r="M36" s="51">
        <f>L36*D36</f>
        <v>0</v>
      </c>
      <c r="N36" s="87"/>
      <c r="O36" s="45"/>
      <c r="P36" s="45">
        <f>M36</f>
        <v>0</v>
      </c>
      <c r="Q36" s="45"/>
      <c r="R36" s="45"/>
    </row>
    <row r="37" spans="1:18" ht="15">
      <c r="A37" s="131"/>
      <c r="B37" s="26" t="s">
        <v>124</v>
      </c>
      <c r="C37" s="23" t="s">
        <v>58</v>
      </c>
      <c r="D37" s="24">
        <f>5.7*5.69*3</f>
        <v>97.299</v>
      </c>
      <c r="E37" s="76"/>
      <c r="F37" s="57"/>
      <c r="G37" s="110"/>
      <c r="H37" s="90"/>
      <c r="I37" s="58"/>
      <c r="J37" s="58"/>
      <c r="K37" s="106"/>
      <c r="L37" s="102"/>
      <c r="M37" s="51">
        <f>L37*D37</f>
        <v>0</v>
      </c>
      <c r="N37" s="87"/>
      <c r="O37" s="45"/>
      <c r="P37" s="45"/>
      <c r="Q37" s="45"/>
      <c r="R37" s="45"/>
    </row>
    <row r="38" spans="1:18" ht="14.25">
      <c r="A38" s="131"/>
      <c r="B38" s="25" t="s">
        <v>113</v>
      </c>
      <c r="C38" s="20" t="s">
        <v>95</v>
      </c>
      <c r="D38" s="21">
        <f>((5.7/0.15+1)*5.69+(5.69/0.15+1)*5.7)/1000*3</f>
        <v>1.33149</v>
      </c>
      <c r="E38" s="76"/>
      <c r="F38" s="57"/>
      <c r="G38" s="110"/>
      <c r="H38" s="90"/>
      <c r="I38" s="58"/>
      <c r="J38" s="58"/>
      <c r="K38" s="106"/>
      <c r="L38" s="102"/>
      <c r="M38" s="51">
        <f>L38*D38</f>
        <v>0</v>
      </c>
      <c r="N38" s="87"/>
      <c r="O38" s="45"/>
      <c r="P38" s="45">
        <f>M38</f>
        <v>0</v>
      </c>
      <c r="Q38" s="45"/>
      <c r="R38" s="45"/>
    </row>
    <row r="39" spans="1:18" ht="14.25">
      <c r="A39" s="131"/>
      <c r="B39" s="25" t="s">
        <v>112</v>
      </c>
      <c r="C39" s="20" t="s">
        <v>83</v>
      </c>
      <c r="D39" s="21">
        <f>D37*E39</f>
        <v>7.783920000000001</v>
      </c>
      <c r="E39" s="76">
        <v>0.08</v>
      </c>
      <c r="F39" s="57"/>
      <c r="G39" s="110"/>
      <c r="H39" s="90"/>
      <c r="I39" s="58"/>
      <c r="J39" s="58"/>
      <c r="K39" s="106"/>
      <c r="L39" s="102"/>
      <c r="M39" s="51">
        <f>L39*D39</f>
        <v>0</v>
      </c>
      <c r="N39" s="87"/>
      <c r="O39" s="45"/>
      <c r="P39" s="45">
        <f>M39</f>
        <v>0</v>
      </c>
      <c r="Q39" s="45"/>
      <c r="R39" s="45"/>
    </row>
    <row r="40" spans="1:22" s="11" customFormat="1" ht="15">
      <c r="A40" s="71"/>
      <c r="B40" s="26" t="s">
        <v>106</v>
      </c>
      <c r="C40" s="23" t="s">
        <v>83</v>
      </c>
      <c r="D40" s="24">
        <f>((6*4+18*2)*2.7-R20)*0.3</f>
        <v>46.145999999999994</v>
      </c>
      <c r="E40" s="77"/>
      <c r="F40" s="59"/>
      <c r="G40" s="111"/>
      <c r="H40" s="91"/>
      <c r="I40" s="60"/>
      <c r="J40" s="60"/>
      <c r="K40" s="107"/>
      <c r="L40" s="103"/>
      <c r="M40" s="52">
        <f aca="true" t="shared" si="1" ref="M40:M47">L40*D40</f>
        <v>0</v>
      </c>
      <c r="N40" s="83"/>
      <c r="O40" s="81">
        <f>M40</f>
        <v>0</v>
      </c>
      <c r="P40" s="81"/>
      <c r="Q40" s="81"/>
      <c r="R40" s="81"/>
      <c r="S40" s="84"/>
      <c r="T40" s="84"/>
      <c r="U40" s="84"/>
      <c r="V40" s="84"/>
    </row>
    <row r="41" spans="1:18" ht="14.25">
      <c r="A41" s="131"/>
      <c r="B41" s="25" t="s">
        <v>107</v>
      </c>
      <c r="C41" s="20" t="s">
        <v>83</v>
      </c>
      <c r="D41" s="21">
        <f>D40*E41</f>
        <v>50.7606</v>
      </c>
      <c r="E41" s="76">
        <v>1.1</v>
      </c>
      <c r="F41" s="57"/>
      <c r="G41" s="110"/>
      <c r="H41" s="90"/>
      <c r="I41" s="58"/>
      <c r="J41" s="58"/>
      <c r="K41" s="106"/>
      <c r="L41" s="102"/>
      <c r="M41" s="51">
        <f t="shared" si="1"/>
        <v>0</v>
      </c>
      <c r="N41" s="87"/>
      <c r="O41" s="45"/>
      <c r="P41" s="45">
        <f>M41</f>
        <v>0</v>
      </c>
      <c r="Q41" s="45"/>
      <c r="R41" s="45"/>
    </row>
    <row r="42" spans="1:18" ht="14.25">
      <c r="A42" s="131"/>
      <c r="B42" s="25" t="s">
        <v>108</v>
      </c>
      <c r="C42" s="20" t="s">
        <v>1</v>
      </c>
      <c r="D42" s="21">
        <f>D41*E42</f>
        <v>50.7606</v>
      </c>
      <c r="E42" s="76">
        <v>1</v>
      </c>
      <c r="F42" s="57"/>
      <c r="G42" s="110"/>
      <c r="H42" s="90"/>
      <c r="I42" s="58"/>
      <c r="J42" s="58"/>
      <c r="K42" s="106"/>
      <c r="L42" s="102"/>
      <c r="M42" s="51">
        <f t="shared" si="1"/>
        <v>0</v>
      </c>
      <c r="N42" s="87"/>
      <c r="O42" s="45"/>
      <c r="P42" s="45">
        <f>M42</f>
        <v>0</v>
      </c>
      <c r="Q42" s="45"/>
      <c r="R42" s="45"/>
    </row>
    <row r="43" spans="1:18" ht="28.5">
      <c r="A43" s="131"/>
      <c r="B43" s="25" t="s">
        <v>109</v>
      </c>
      <c r="C43" s="20" t="s">
        <v>58</v>
      </c>
      <c r="D43" s="21">
        <f>D40*E43</f>
        <v>27.687599999999996</v>
      </c>
      <c r="E43" s="76">
        <v>0.6</v>
      </c>
      <c r="F43" s="57"/>
      <c r="G43" s="110"/>
      <c r="H43" s="90"/>
      <c r="I43" s="58"/>
      <c r="J43" s="58"/>
      <c r="K43" s="106"/>
      <c r="L43" s="102"/>
      <c r="M43" s="51">
        <f t="shared" si="1"/>
        <v>0</v>
      </c>
      <c r="N43" s="87"/>
      <c r="O43" s="45"/>
      <c r="P43" s="45">
        <f>M43</f>
        <v>0</v>
      </c>
      <c r="Q43" s="45"/>
      <c r="R43" s="45"/>
    </row>
    <row r="44" spans="1:22" s="11" customFormat="1" ht="15">
      <c r="A44" s="71"/>
      <c r="B44" s="26" t="s">
        <v>111</v>
      </c>
      <c r="C44" s="23" t="s">
        <v>58</v>
      </c>
      <c r="D44" s="24">
        <f>((5.7+1.5+1.5)*2.7-T20)*3</f>
        <v>60.39</v>
      </c>
      <c r="E44" s="77"/>
      <c r="F44" s="59"/>
      <c r="G44" s="111"/>
      <c r="H44" s="91"/>
      <c r="I44" s="60"/>
      <c r="J44" s="60"/>
      <c r="K44" s="107"/>
      <c r="L44" s="103"/>
      <c r="M44" s="52">
        <f t="shared" si="1"/>
        <v>0</v>
      </c>
      <c r="N44" s="83"/>
      <c r="O44" s="81">
        <f>M44</f>
        <v>0</v>
      </c>
      <c r="P44" s="81"/>
      <c r="Q44" s="81"/>
      <c r="R44" s="81"/>
      <c r="S44" s="84"/>
      <c r="T44" s="84"/>
      <c r="U44" s="84"/>
      <c r="V44" s="84"/>
    </row>
    <row r="45" spans="1:18" ht="14.25">
      <c r="A45" s="131"/>
      <c r="B45" s="25" t="s">
        <v>146</v>
      </c>
      <c r="C45" s="20" t="s">
        <v>83</v>
      </c>
      <c r="D45" s="21">
        <f>D44*E45</f>
        <v>6.6429</v>
      </c>
      <c r="E45" s="76">
        <v>0.11</v>
      </c>
      <c r="F45" s="57"/>
      <c r="G45" s="110"/>
      <c r="H45" s="90"/>
      <c r="I45" s="58"/>
      <c r="J45" s="58"/>
      <c r="K45" s="106"/>
      <c r="L45" s="102"/>
      <c r="M45" s="51">
        <f t="shared" si="1"/>
        <v>0</v>
      </c>
      <c r="N45" s="87"/>
      <c r="O45" s="45"/>
      <c r="P45" s="45">
        <f>M45</f>
        <v>0</v>
      </c>
      <c r="Q45" s="45"/>
      <c r="R45" s="45"/>
    </row>
    <row r="46" spans="1:18" ht="14.25">
      <c r="A46" s="131"/>
      <c r="B46" s="25" t="s">
        <v>108</v>
      </c>
      <c r="C46" s="20" t="s">
        <v>1</v>
      </c>
      <c r="D46" s="21">
        <f>D45*E46</f>
        <v>6.6429</v>
      </c>
      <c r="E46" s="76">
        <v>1</v>
      </c>
      <c r="F46" s="57"/>
      <c r="G46" s="110"/>
      <c r="H46" s="90"/>
      <c r="I46" s="58"/>
      <c r="J46" s="58"/>
      <c r="K46" s="106"/>
      <c r="L46" s="102"/>
      <c r="M46" s="51">
        <f t="shared" si="1"/>
        <v>0</v>
      </c>
      <c r="N46" s="87"/>
      <c r="O46" s="45"/>
      <c r="P46" s="45">
        <f>M46</f>
        <v>0</v>
      </c>
      <c r="Q46" s="45"/>
      <c r="R46" s="45"/>
    </row>
    <row r="47" spans="1:18" ht="28.5">
      <c r="A47" s="131"/>
      <c r="B47" s="25" t="s">
        <v>109</v>
      </c>
      <c r="C47" s="20" t="s">
        <v>58</v>
      </c>
      <c r="D47" s="21">
        <f>D44*E47</f>
        <v>36.234</v>
      </c>
      <c r="E47" s="76">
        <v>0.6</v>
      </c>
      <c r="F47" s="57"/>
      <c r="G47" s="110"/>
      <c r="H47" s="90"/>
      <c r="I47" s="58"/>
      <c r="J47" s="58"/>
      <c r="K47" s="106"/>
      <c r="L47" s="102"/>
      <c r="M47" s="51">
        <f t="shared" si="1"/>
        <v>0</v>
      </c>
      <c r="N47" s="87"/>
      <c r="O47" s="45"/>
      <c r="P47" s="45">
        <f>M47</f>
        <v>0</v>
      </c>
      <c r="Q47" s="45"/>
      <c r="R47" s="45"/>
    </row>
    <row r="48" spans="1:18" ht="15">
      <c r="A48" s="172" t="s">
        <v>125</v>
      </c>
      <c r="B48" s="173"/>
      <c r="C48" s="174"/>
      <c r="D48" s="175"/>
      <c r="E48" s="176"/>
      <c r="F48" s="177"/>
      <c r="G48" s="178"/>
      <c r="H48" s="179"/>
      <c r="I48" s="180"/>
      <c r="J48" s="180"/>
      <c r="K48" s="181"/>
      <c r="L48" s="182"/>
      <c r="M48" s="183"/>
      <c r="N48" s="87"/>
      <c r="O48" s="45"/>
      <c r="P48" s="45"/>
      <c r="Q48" s="45"/>
      <c r="R48" s="45"/>
    </row>
    <row r="49" spans="1:22" s="11" customFormat="1" ht="30">
      <c r="A49" s="71"/>
      <c r="B49" s="26" t="s">
        <v>128</v>
      </c>
      <c r="C49" s="23" t="s">
        <v>83</v>
      </c>
      <c r="D49" s="24">
        <f>18*6*0.15</f>
        <v>16.2</v>
      </c>
      <c r="E49" s="77"/>
      <c r="F49" s="59"/>
      <c r="G49" s="111"/>
      <c r="H49" s="91"/>
      <c r="I49" s="60"/>
      <c r="J49" s="60"/>
      <c r="K49" s="107"/>
      <c r="L49" s="103"/>
      <c r="M49" s="52">
        <f>L49*D49</f>
        <v>0</v>
      </c>
      <c r="N49" s="83"/>
      <c r="O49" s="81">
        <f>M49</f>
        <v>0</v>
      </c>
      <c r="P49" s="81"/>
      <c r="Q49" s="81"/>
      <c r="R49" s="81"/>
      <c r="S49" s="84"/>
      <c r="T49" s="84"/>
      <c r="U49" s="84"/>
      <c r="V49" s="84"/>
    </row>
    <row r="50" spans="1:18" ht="15">
      <c r="A50" s="131"/>
      <c r="B50" s="25" t="s">
        <v>112</v>
      </c>
      <c r="C50" s="23" t="s">
        <v>83</v>
      </c>
      <c r="D50" s="21">
        <f>D49</f>
        <v>16.2</v>
      </c>
      <c r="E50" s="76">
        <v>1</v>
      </c>
      <c r="F50" s="57"/>
      <c r="G50" s="110"/>
      <c r="H50" s="90"/>
      <c r="I50" s="58"/>
      <c r="J50" s="58"/>
      <c r="K50" s="106"/>
      <c r="L50" s="102"/>
      <c r="M50" s="51">
        <f>L50*D50</f>
        <v>0</v>
      </c>
      <c r="N50" s="87"/>
      <c r="O50" s="45"/>
      <c r="P50" s="45">
        <f>M50</f>
        <v>0</v>
      </c>
      <c r="Q50" s="45"/>
      <c r="R50" s="45"/>
    </row>
    <row r="51" spans="1:18" ht="14.25">
      <c r="A51" s="131"/>
      <c r="B51" s="25" t="s">
        <v>129</v>
      </c>
      <c r="C51" s="20" t="s">
        <v>95</v>
      </c>
      <c r="D51" s="21">
        <f>((18/0.15+1)*6+(6/0.15+1)*18)/1000*1.2</f>
        <v>1.7568</v>
      </c>
      <c r="E51" s="76"/>
      <c r="F51" s="57"/>
      <c r="G51" s="110"/>
      <c r="H51" s="90"/>
      <c r="I51" s="58"/>
      <c r="J51" s="58"/>
      <c r="K51" s="106"/>
      <c r="L51" s="102"/>
      <c r="M51" s="51">
        <f>L51*D51</f>
        <v>0</v>
      </c>
      <c r="N51" s="87"/>
      <c r="O51" s="45"/>
      <c r="P51" s="45">
        <f>M51</f>
        <v>0</v>
      </c>
      <c r="Q51" s="45"/>
      <c r="R51" s="45"/>
    </row>
    <row r="52" spans="1:22" s="11" customFormat="1" ht="15">
      <c r="A52" s="71"/>
      <c r="B52" s="26" t="s">
        <v>126</v>
      </c>
      <c r="C52" s="23" t="s">
        <v>83</v>
      </c>
      <c r="D52" s="24">
        <f>((6*4+18*2)*2.7-V20)*0.2</f>
        <v>31.386000000000003</v>
      </c>
      <c r="E52" s="77"/>
      <c r="F52" s="59"/>
      <c r="G52" s="111"/>
      <c r="H52" s="91"/>
      <c r="I52" s="60"/>
      <c r="J52" s="60"/>
      <c r="K52" s="107"/>
      <c r="L52" s="103"/>
      <c r="M52" s="52">
        <f aca="true" t="shared" si="2" ref="M52:M59">L52*D52</f>
        <v>0</v>
      </c>
      <c r="N52" s="83"/>
      <c r="O52" s="81">
        <f>M52</f>
        <v>0</v>
      </c>
      <c r="P52" s="81"/>
      <c r="Q52" s="81"/>
      <c r="R52" s="81"/>
      <c r="S52" s="84"/>
      <c r="T52" s="84"/>
      <c r="U52" s="84"/>
      <c r="V52" s="84"/>
    </row>
    <row r="53" spans="1:18" ht="14.25">
      <c r="A53" s="131"/>
      <c r="B53" s="25" t="s">
        <v>107</v>
      </c>
      <c r="C53" s="20" t="s">
        <v>83</v>
      </c>
      <c r="D53" s="21">
        <f>D52*E53</f>
        <v>34.52460000000001</v>
      </c>
      <c r="E53" s="76">
        <v>1.1</v>
      </c>
      <c r="F53" s="57"/>
      <c r="G53" s="110"/>
      <c r="H53" s="90"/>
      <c r="I53" s="58"/>
      <c r="J53" s="58"/>
      <c r="K53" s="106"/>
      <c r="L53" s="102"/>
      <c r="M53" s="51">
        <f t="shared" si="2"/>
        <v>0</v>
      </c>
      <c r="N53" s="87"/>
      <c r="O53" s="45"/>
      <c r="P53" s="45">
        <f>M53</f>
        <v>0</v>
      </c>
      <c r="Q53" s="45"/>
      <c r="R53" s="45"/>
    </row>
    <row r="54" spans="1:18" ht="14.25">
      <c r="A54" s="131"/>
      <c r="B54" s="25" t="s">
        <v>108</v>
      </c>
      <c r="C54" s="20" t="s">
        <v>1</v>
      </c>
      <c r="D54" s="21">
        <f>D53*E54</f>
        <v>34.52460000000001</v>
      </c>
      <c r="E54" s="76">
        <v>1</v>
      </c>
      <c r="F54" s="57"/>
      <c r="G54" s="110"/>
      <c r="H54" s="90"/>
      <c r="I54" s="58"/>
      <c r="J54" s="58"/>
      <c r="K54" s="106"/>
      <c r="L54" s="102"/>
      <c r="M54" s="51">
        <f t="shared" si="2"/>
        <v>0</v>
      </c>
      <c r="N54" s="87"/>
      <c r="O54" s="45"/>
      <c r="P54" s="45">
        <f>M54</f>
        <v>0</v>
      </c>
      <c r="Q54" s="45"/>
      <c r="R54" s="45"/>
    </row>
    <row r="55" spans="1:18" ht="28.5">
      <c r="A55" s="131"/>
      <c r="B55" s="25" t="s">
        <v>109</v>
      </c>
      <c r="C55" s="20" t="s">
        <v>58</v>
      </c>
      <c r="D55" s="21">
        <f>D52*E55</f>
        <v>18.8316</v>
      </c>
      <c r="E55" s="76">
        <v>0.6</v>
      </c>
      <c r="F55" s="57"/>
      <c r="G55" s="110"/>
      <c r="H55" s="90"/>
      <c r="I55" s="58"/>
      <c r="J55" s="58"/>
      <c r="K55" s="106"/>
      <c r="L55" s="102"/>
      <c r="M55" s="51">
        <f t="shared" si="2"/>
        <v>0</v>
      </c>
      <c r="N55" s="87"/>
      <c r="O55" s="45"/>
      <c r="P55" s="45">
        <f>M55</f>
        <v>0</v>
      </c>
      <c r="Q55" s="45"/>
      <c r="R55" s="45"/>
    </row>
    <row r="56" spans="1:22" s="11" customFormat="1" ht="15">
      <c r="A56" s="71"/>
      <c r="B56" s="26" t="s">
        <v>111</v>
      </c>
      <c r="C56" s="23" t="s">
        <v>58</v>
      </c>
      <c r="D56" s="24">
        <f>((2.56+1.62+2.3+1.8+4)*2.7-X20)*3</f>
        <v>84.348</v>
      </c>
      <c r="E56" s="77"/>
      <c r="F56" s="59"/>
      <c r="G56" s="111"/>
      <c r="H56" s="91"/>
      <c r="I56" s="60"/>
      <c r="J56" s="60"/>
      <c r="K56" s="107"/>
      <c r="L56" s="103"/>
      <c r="M56" s="52">
        <f t="shared" si="2"/>
        <v>0</v>
      </c>
      <c r="N56" s="83"/>
      <c r="O56" s="81">
        <f>M56</f>
        <v>0</v>
      </c>
      <c r="P56" s="81"/>
      <c r="Q56" s="81"/>
      <c r="R56" s="81"/>
      <c r="S56" s="84"/>
      <c r="T56" s="84"/>
      <c r="U56" s="84"/>
      <c r="V56" s="84"/>
    </row>
    <row r="57" spans="1:18" ht="14.25">
      <c r="A57" s="131"/>
      <c r="B57" s="25" t="s">
        <v>107</v>
      </c>
      <c r="C57" s="20" t="s">
        <v>83</v>
      </c>
      <c r="D57" s="21">
        <f>D56*E57</f>
        <v>8.434800000000001</v>
      </c>
      <c r="E57" s="76">
        <v>0.1</v>
      </c>
      <c r="F57" s="57"/>
      <c r="G57" s="110"/>
      <c r="H57" s="90"/>
      <c r="I57" s="58"/>
      <c r="J57" s="58"/>
      <c r="K57" s="106"/>
      <c r="L57" s="102"/>
      <c r="M57" s="51">
        <f t="shared" si="2"/>
        <v>0</v>
      </c>
      <c r="N57" s="87"/>
      <c r="O57" s="45"/>
      <c r="P57" s="45">
        <f>M57</f>
        <v>0</v>
      </c>
      <c r="Q57" s="45"/>
      <c r="R57" s="45"/>
    </row>
    <row r="58" spans="1:18" ht="14.25">
      <c r="A58" s="131"/>
      <c r="B58" s="25" t="s">
        <v>108</v>
      </c>
      <c r="C58" s="20" t="s">
        <v>1</v>
      </c>
      <c r="D58" s="21">
        <f>D57*E58</f>
        <v>8.434800000000001</v>
      </c>
      <c r="E58" s="76">
        <v>1</v>
      </c>
      <c r="F58" s="57"/>
      <c r="G58" s="110"/>
      <c r="H58" s="90"/>
      <c r="I58" s="58"/>
      <c r="J58" s="58"/>
      <c r="K58" s="106"/>
      <c r="L58" s="102"/>
      <c r="M58" s="51">
        <f t="shared" si="2"/>
        <v>0</v>
      </c>
      <c r="N58" s="87"/>
      <c r="O58" s="45"/>
      <c r="P58" s="45">
        <f>M58</f>
        <v>0</v>
      </c>
      <c r="Q58" s="45"/>
      <c r="R58" s="45"/>
    </row>
    <row r="59" spans="1:18" ht="28.5">
      <c r="A59" s="131"/>
      <c r="B59" s="25" t="s">
        <v>109</v>
      </c>
      <c r="C59" s="20" t="s">
        <v>58</v>
      </c>
      <c r="D59" s="21">
        <f>D56*E59</f>
        <v>50.608799999999995</v>
      </c>
      <c r="E59" s="76">
        <v>0.6</v>
      </c>
      <c r="F59" s="57"/>
      <c r="G59" s="110"/>
      <c r="H59" s="90"/>
      <c r="I59" s="58"/>
      <c r="J59" s="58"/>
      <c r="K59" s="106"/>
      <c r="L59" s="102"/>
      <c r="M59" s="51">
        <f t="shared" si="2"/>
        <v>0</v>
      </c>
      <c r="N59" s="87"/>
      <c r="O59" s="45"/>
      <c r="P59" s="45">
        <f>M59</f>
        <v>0</v>
      </c>
      <c r="Q59" s="45"/>
      <c r="R59" s="45"/>
    </row>
    <row r="60" spans="1:18" ht="15">
      <c r="A60" s="172" t="s">
        <v>127</v>
      </c>
      <c r="B60" s="173"/>
      <c r="C60" s="174"/>
      <c r="D60" s="175"/>
      <c r="E60" s="176"/>
      <c r="F60" s="177"/>
      <c r="G60" s="178"/>
      <c r="H60" s="179"/>
      <c r="I60" s="180"/>
      <c r="J60" s="180"/>
      <c r="K60" s="181"/>
      <c r="L60" s="182"/>
      <c r="M60" s="183"/>
      <c r="N60" s="87"/>
      <c r="O60" s="45"/>
      <c r="P60" s="45"/>
      <c r="Q60" s="45"/>
      <c r="R60" s="45"/>
    </row>
    <row r="61" spans="1:22" s="11" customFormat="1" ht="30">
      <c r="A61" s="71"/>
      <c r="B61" s="26" t="s">
        <v>141</v>
      </c>
      <c r="C61" s="23" t="s">
        <v>58</v>
      </c>
      <c r="D61" s="24">
        <f>18*6</f>
        <v>108</v>
      </c>
      <c r="E61" s="77"/>
      <c r="F61" s="59"/>
      <c r="G61" s="111"/>
      <c r="H61" s="91"/>
      <c r="I61" s="60"/>
      <c r="J61" s="60"/>
      <c r="K61" s="107"/>
      <c r="L61" s="103"/>
      <c r="M61" s="52">
        <f>L61*D61</f>
        <v>0</v>
      </c>
      <c r="N61" s="83"/>
      <c r="O61" s="81">
        <f>M61</f>
        <v>0</v>
      </c>
      <c r="P61" s="81"/>
      <c r="Q61" s="81"/>
      <c r="R61" s="81"/>
      <c r="S61" s="84"/>
      <c r="T61" s="84"/>
      <c r="U61" s="84"/>
      <c r="V61" s="84"/>
    </row>
    <row r="62" spans="1:18" ht="14.25">
      <c r="A62" s="131"/>
      <c r="B62" s="25" t="s">
        <v>139</v>
      </c>
      <c r="C62" s="20" t="s">
        <v>83</v>
      </c>
      <c r="D62" s="21">
        <f>((18/0.4+1)*6.25)*0.1*0.25</f>
        <v>7.1875</v>
      </c>
      <c r="E62" s="76"/>
      <c r="F62" s="57"/>
      <c r="G62" s="110"/>
      <c r="H62" s="90"/>
      <c r="I62" s="58"/>
      <c r="J62" s="58"/>
      <c r="K62" s="106"/>
      <c r="L62" s="102"/>
      <c r="M62" s="51">
        <f aca="true" t="shared" si="3" ref="M62:M68">L62*D62</f>
        <v>0</v>
      </c>
      <c r="N62" s="87"/>
      <c r="O62" s="45"/>
      <c r="P62" s="45">
        <f>M62</f>
        <v>0</v>
      </c>
      <c r="Q62" s="45"/>
      <c r="R62" s="45"/>
    </row>
    <row r="63" spans="1:18" ht="14.25">
      <c r="A63" s="131"/>
      <c r="B63" s="25" t="s">
        <v>136</v>
      </c>
      <c r="C63" s="20" t="s">
        <v>58</v>
      </c>
      <c r="D63" s="21">
        <f>(((6.25/0.4+1)*18)*0.1*0.03)</f>
        <v>0.8977499999999999</v>
      </c>
      <c r="E63" s="76">
        <v>1.1</v>
      </c>
      <c r="F63" s="57"/>
      <c r="G63" s="110"/>
      <c r="H63" s="90"/>
      <c r="I63" s="58"/>
      <c r="J63" s="58"/>
      <c r="K63" s="106"/>
      <c r="L63" s="102"/>
      <c r="M63" s="51">
        <f t="shared" si="3"/>
        <v>0</v>
      </c>
      <c r="N63" s="87"/>
      <c r="O63" s="45"/>
      <c r="P63" s="45">
        <f>M63</f>
        <v>0</v>
      </c>
      <c r="Q63" s="45"/>
      <c r="R63" s="45"/>
    </row>
    <row r="64" spans="1:18" ht="14.25">
      <c r="A64" s="131"/>
      <c r="B64" s="25" t="s">
        <v>137</v>
      </c>
      <c r="C64" s="20" t="s">
        <v>1</v>
      </c>
      <c r="D64" s="21">
        <f>D61*E64</f>
        <v>540</v>
      </c>
      <c r="E64" s="76">
        <v>5</v>
      </c>
      <c r="F64" s="57"/>
      <c r="G64" s="110"/>
      <c r="H64" s="90"/>
      <c r="I64" s="58"/>
      <c r="J64" s="58"/>
      <c r="K64" s="106"/>
      <c r="L64" s="102"/>
      <c r="M64" s="51">
        <f t="shared" si="3"/>
        <v>0</v>
      </c>
      <c r="N64" s="87"/>
      <c r="O64" s="45"/>
      <c r="P64" s="45">
        <f>M64</f>
        <v>0</v>
      </c>
      <c r="Q64" s="45"/>
      <c r="R64" s="45"/>
    </row>
    <row r="65" spans="1:22" s="11" customFormat="1" ht="15">
      <c r="A65" s="71"/>
      <c r="B65" s="26" t="s">
        <v>147</v>
      </c>
      <c r="C65" s="23" t="s">
        <v>58</v>
      </c>
      <c r="D65" s="24">
        <f>(6.3*3+1.3)*0.3</f>
        <v>6.06</v>
      </c>
      <c r="E65" s="77"/>
      <c r="F65" s="59"/>
      <c r="G65" s="111"/>
      <c r="H65" s="91"/>
      <c r="I65" s="60"/>
      <c r="J65" s="60"/>
      <c r="K65" s="107"/>
      <c r="L65" s="103"/>
      <c r="M65" s="52">
        <f t="shared" si="3"/>
        <v>0</v>
      </c>
      <c r="N65" s="83"/>
      <c r="O65" s="81"/>
      <c r="P65" s="81">
        <f>M65</f>
        <v>0</v>
      </c>
      <c r="Q65" s="81"/>
      <c r="R65" s="81"/>
      <c r="S65" s="84"/>
      <c r="T65" s="84"/>
      <c r="U65" s="84"/>
      <c r="V65" s="84"/>
    </row>
    <row r="66" spans="1:18" ht="14.25">
      <c r="A66" s="131"/>
      <c r="B66" s="25" t="s">
        <v>146</v>
      </c>
      <c r="C66" s="20" t="s">
        <v>83</v>
      </c>
      <c r="D66" s="21">
        <f>D65*E66</f>
        <v>0.6666</v>
      </c>
      <c r="E66" s="76">
        <v>0.11</v>
      </c>
      <c r="F66" s="57"/>
      <c r="G66" s="110"/>
      <c r="H66" s="90"/>
      <c r="I66" s="58"/>
      <c r="J66" s="58"/>
      <c r="K66" s="106"/>
      <c r="L66" s="102"/>
      <c r="M66" s="51">
        <f t="shared" si="3"/>
        <v>0</v>
      </c>
      <c r="N66" s="87"/>
      <c r="O66" s="45"/>
      <c r="P66" s="45">
        <f>M66</f>
        <v>0</v>
      </c>
      <c r="Q66" s="45"/>
      <c r="R66" s="45"/>
    </row>
    <row r="67" spans="1:18" ht="14.25">
      <c r="A67" s="131"/>
      <c r="B67" s="25" t="s">
        <v>108</v>
      </c>
      <c r="C67" s="20" t="s">
        <v>1</v>
      </c>
      <c r="D67" s="21">
        <f>D66*E67</f>
        <v>0.6666</v>
      </c>
      <c r="E67" s="76">
        <v>1</v>
      </c>
      <c r="F67" s="57"/>
      <c r="G67" s="110"/>
      <c r="H67" s="90"/>
      <c r="I67" s="58"/>
      <c r="J67" s="58"/>
      <c r="K67" s="106"/>
      <c r="L67" s="102"/>
      <c r="M67" s="51">
        <f t="shared" si="3"/>
        <v>0</v>
      </c>
      <c r="N67" s="87"/>
      <c r="O67" s="45"/>
      <c r="P67" s="45">
        <f>M67</f>
        <v>0</v>
      </c>
      <c r="Q67" s="45"/>
      <c r="R67" s="45"/>
    </row>
    <row r="68" spans="1:22" s="11" customFormat="1" ht="15">
      <c r="A68" s="71"/>
      <c r="B68" s="26" t="s">
        <v>142</v>
      </c>
      <c r="C68" s="23" t="s">
        <v>58</v>
      </c>
      <c r="D68" s="24">
        <f>5.85*5.89*3</f>
        <v>103.36949999999999</v>
      </c>
      <c r="E68" s="77"/>
      <c r="F68" s="59"/>
      <c r="G68" s="111"/>
      <c r="H68" s="91"/>
      <c r="I68" s="60"/>
      <c r="J68" s="60"/>
      <c r="K68" s="107"/>
      <c r="L68" s="103"/>
      <c r="M68" s="52">
        <f t="shared" si="3"/>
        <v>0</v>
      </c>
      <c r="N68" s="83"/>
      <c r="O68" s="81">
        <f>M68</f>
        <v>0</v>
      </c>
      <c r="P68" s="81"/>
      <c r="Q68" s="81"/>
      <c r="R68" s="81"/>
      <c r="S68" s="84"/>
      <c r="T68" s="84"/>
      <c r="U68" s="84"/>
      <c r="V68" s="84"/>
    </row>
    <row r="69" spans="1:18" ht="14.25">
      <c r="A69" s="131"/>
      <c r="B69" s="25" t="s">
        <v>138</v>
      </c>
      <c r="C69" s="20" t="s">
        <v>83</v>
      </c>
      <c r="D69" s="21">
        <f>(((5.85/0.4+1)*6)*0.05*0.15)*3</f>
        <v>2.1093749999999996</v>
      </c>
      <c r="E69" s="76"/>
      <c r="F69" s="57"/>
      <c r="G69" s="110"/>
      <c r="H69" s="90"/>
      <c r="I69" s="58"/>
      <c r="J69" s="58"/>
      <c r="K69" s="106"/>
      <c r="L69" s="102"/>
      <c r="M69" s="51">
        <f>L69*D69</f>
        <v>0</v>
      </c>
      <c r="N69" s="87"/>
      <c r="O69" s="45"/>
      <c r="P69" s="45">
        <f>M69</f>
        <v>0</v>
      </c>
      <c r="Q69" s="45"/>
      <c r="R69" s="45"/>
    </row>
    <row r="70" spans="1:18" ht="14.25">
      <c r="A70" s="131"/>
      <c r="B70" s="25" t="s">
        <v>140</v>
      </c>
      <c r="C70" s="20" t="s">
        <v>58</v>
      </c>
      <c r="D70" s="21">
        <f>(((6.25/0.4+1)*18)*0.1*0.02)</f>
        <v>0.5985</v>
      </c>
      <c r="E70" s="76">
        <v>1.1</v>
      </c>
      <c r="F70" s="57"/>
      <c r="G70" s="110"/>
      <c r="H70" s="90"/>
      <c r="I70" s="58"/>
      <c r="J70" s="58"/>
      <c r="K70" s="106"/>
      <c r="L70" s="102"/>
      <c r="M70" s="51">
        <f>L70*D70</f>
        <v>0</v>
      </c>
      <c r="N70" s="87"/>
      <c r="O70" s="45"/>
      <c r="P70" s="45">
        <f>M70</f>
        <v>0</v>
      </c>
      <c r="Q70" s="45"/>
      <c r="R70" s="45"/>
    </row>
    <row r="71" spans="1:18" ht="14.25">
      <c r="A71" s="131"/>
      <c r="B71" s="25" t="s">
        <v>131</v>
      </c>
      <c r="C71" s="20" t="s">
        <v>58</v>
      </c>
      <c r="D71" s="21">
        <f>D68*E71</f>
        <v>227.41289999999998</v>
      </c>
      <c r="E71" s="76">
        <v>2.2</v>
      </c>
      <c r="F71" s="57"/>
      <c r="G71" s="110"/>
      <c r="H71" s="90"/>
      <c r="I71" s="58"/>
      <c r="J71" s="58"/>
      <c r="K71" s="106"/>
      <c r="L71" s="102"/>
      <c r="M71" s="51">
        <f>L71*D71</f>
        <v>0</v>
      </c>
      <c r="N71" s="87"/>
      <c r="O71" s="45"/>
      <c r="P71" s="45">
        <f>M71</f>
        <v>0</v>
      </c>
      <c r="Q71" s="45"/>
      <c r="R71" s="45"/>
    </row>
    <row r="72" spans="1:18" ht="14.25">
      <c r="A72" s="131"/>
      <c r="B72" s="25" t="s">
        <v>130</v>
      </c>
      <c r="C72" s="20" t="s">
        <v>1</v>
      </c>
      <c r="D72" s="21">
        <f>D68*E72</f>
        <v>5168.474999999999</v>
      </c>
      <c r="E72" s="76">
        <v>50</v>
      </c>
      <c r="F72" s="57"/>
      <c r="G72" s="110"/>
      <c r="H72" s="90"/>
      <c r="I72" s="58"/>
      <c r="J72" s="58"/>
      <c r="K72" s="106"/>
      <c r="L72" s="102"/>
      <c r="M72" s="51">
        <f>L72*D72</f>
        <v>0</v>
      </c>
      <c r="N72" s="87"/>
      <c r="O72" s="45"/>
      <c r="P72" s="45">
        <f>M72</f>
        <v>0</v>
      </c>
      <c r="Q72" s="45"/>
      <c r="R72" s="45"/>
    </row>
    <row r="73" spans="1:18" ht="14.25">
      <c r="A73" s="131"/>
      <c r="B73" s="25" t="s">
        <v>137</v>
      </c>
      <c r="C73" s="20" t="s">
        <v>1</v>
      </c>
      <c r="D73" s="184">
        <f>D68*E73</f>
        <v>516.8475</v>
      </c>
      <c r="E73" s="76">
        <v>5</v>
      </c>
      <c r="F73" s="57"/>
      <c r="G73" s="110"/>
      <c r="H73" s="90"/>
      <c r="I73" s="58"/>
      <c r="J73" s="58"/>
      <c r="K73" s="106"/>
      <c r="L73" s="102"/>
      <c r="M73" s="51">
        <f>L73*D73</f>
        <v>0</v>
      </c>
      <c r="N73" s="87"/>
      <c r="O73" s="45"/>
      <c r="P73" s="45">
        <f>M73</f>
        <v>0</v>
      </c>
      <c r="Q73" s="45"/>
      <c r="R73" s="45"/>
    </row>
    <row r="74" spans="1:22" s="11" customFormat="1" ht="15">
      <c r="A74" s="71"/>
      <c r="B74" s="26" t="s">
        <v>133</v>
      </c>
      <c r="C74" s="23" t="s">
        <v>58</v>
      </c>
      <c r="D74" s="24">
        <f>D61</f>
        <v>108</v>
      </c>
      <c r="E74" s="77"/>
      <c r="F74" s="59"/>
      <c r="G74" s="111"/>
      <c r="H74" s="91"/>
      <c r="I74" s="60"/>
      <c r="J74" s="60"/>
      <c r="K74" s="107"/>
      <c r="L74" s="103"/>
      <c r="M74" s="52">
        <f>L74*D74</f>
        <v>0</v>
      </c>
      <c r="N74" s="83"/>
      <c r="O74" s="81">
        <f>M74</f>
        <v>0</v>
      </c>
      <c r="P74" s="81"/>
      <c r="Q74" s="81"/>
      <c r="R74" s="81"/>
      <c r="S74" s="84"/>
      <c r="T74" s="84"/>
      <c r="U74" s="84"/>
      <c r="V74" s="84"/>
    </row>
    <row r="75" spans="1:18" ht="14.25">
      <c r="A75" s="131"/>
      <c r="B75" s="25" t="s">
        <v>134</v>
      </c>
      <c r="C75" s="20" t="s">
        <v>58</v>
      </c>
      <c r="D75" s="21">
        <f>D74*E75</f>
        <v>118.80000000000001</v>
      </c>
      <c r="E75" s="76">
        <v>1.1</v>
      </c>
      <c r="F75" s="57"/>
      <c r="G75" s="110"/>
      <c r="H75" s="90"/>
      <c r="I75" s="58"/>
      <c r="J75" s="58"/>
      <c r="K75" s="106"/>
      <c r="L75" s="102"/>
      <c r="M75" s="51">
        <f>L75*D75</f>
        <v>0</v>
      </c>
      <c r="N75" s="87"/>
      <c r="O75" s="45"/>
      <c r="P75" s="45">
        <f>M75</f>
        <v>0</v>
      </c>
      <c r="Q75" s="45"/>
      <c r="R75" s="45"/>
    </row>
    <row r="76" spans="1:22" s="11" customFormat="1" ht="15">
      <c r="A76" s="71"/>
      <c r="B76" s="26" t="s">
        <v>132</v>
      </c>
      <c r="C76" s="23" t="s">
        <v>58</v>
      </c>
      <c r="D76" s="24">
        <f>D68</f>
        <v>103.36949999999999</v>
      </c>
      <c r="E76" s="77"/>
      <c r="F76" s="59"/>
      <c r="G76" s="111"/>
      <c r="H76" s="91"/>
      <c r="I76" s="60"/>
      <c r="J76" s="60"/>
      <c r="K76" s="107"/>
      <c r="L76" s="103"/>
      <c r="M76" s="52">
        <f>L76*D76</f>
        <v>0</v>
      </c>
      <c r="N76" s="83"/>
      <c r="O76" s="81">
        <f>M76</f>
        <v>0</v>
      </c>
      <c r="P76" s="81"/>
      <c r="Q76" s="81"/>
      <c r="R76" s="81"/>
      <c r="S76" s="84"/>
      <c r="T76" s="84"/>
      <c r="U76" s="84"/>
      <c r="V76" s="84"/>
    </row>
    <row r="77" spans="1:18" ht="14.25">
      <c r="A77" s="131"/>
      <c r="B77" s="25" t="s">
        <v>148</v>
      </c>
      <c r="C77" s="20" t="s">
        <v>58</v>
      </c>
      <c r="D77" s="21">
        <f>D76*E77</f>
        <v>113.70644999999999</v>
      </c>
      <c r="E77" s="76">
        <v>1.1</v>
      </c>
      <c r="F77" s="57"/>
      <c r="G77" s="110"/>
      <c r="H77" s="90"/>
      <c r="I77" s="58"/>
      <c r="J77" s="58"/>
      <c r="K77" s="106"/>
      <c r="L77" s="102"/>
      <c r="M77" s="51">
        <f>L77*D77</f>
        <v>0</v>
      </c>
      <c r="N77" s="87"/>
      <c r="O77" s="45"/>
      <c r="P77" s="45">
        <f>M77</f>
        <v>0</v>
      </c>
      <c r="Q77" s="45"/>
      <c r="R77" s="45"/>
    </row>
    <row r="78" spans="1:18" ht="14.25">
      <c r="A78" s="131"/>
      <c r="B78" s="25" t="s">
        <v>149</v>
      </c>
      <c r="C78" s="20" t="s">
        <v>58</v>
      </c>
      <c r="D78" s="21">
        <f>D76*E78</f>
        <v>113.70644999999999</v>
      </c>
      <c r="E78" s="76">
        <v>1.1</v>
      </c>
      <c r="F78" s="57"/>
      <c r="G78" s="110"/>
      <c r="H78" s="90"/>
      <c r="I78" s="58"/>
      <c r="J78" s="58"/>
      <c r="K78" s="106"/>
      <c r="L78" s="102"/>
      <c r="M78" s="51">
        <f>L78*D78</f>
        <v>0</v>
      </c>
      <c r="N78" s="87"/>
      <c r="O78" s="45"/>
      <c r="P78" s="45">
        <f>M78</f>
        <v>0</v>
      </c>
      <c r="Q78" s="45"/>
      <c r="R78" s="45"/>
    </row>
    <row r="79" spans="1:22" s="11" customFormat="1" ht="15">
      <c r="A79" s="71"/>
      <c r="B79" s="26" t="s">
        <v>135</v>
      </c>
      <c r="C79" s="23" t="s">
        <v>58</v>
      </c>
      <c r="D79" s="24">
        <f>D61</f>
        <v>108</v>
      </c>
      <c r="E79" s="77"/>
      <c r="F79" s="59"/>
      <c r="G79" s="111"/>
      <c r="H79" s="91"/>
      <c r="I79" s="60"/>
      <c r="J79" s="60"/>
      <c r="K79" s="107"/>
      <c r="L79" s="103"/>
      <c r="M79" s="52">
        <f>L79*D79</f>
        <v>0</v>
      </c>
      <c r="N79" s="83"/>
      <c r="O79" s="81">
        <f>M79</f>
        <v>0</v>
      </c>
      <c r="P79" s="81"/>
      <c r="Q79" s="81"/>
      <c r="R79" s="81"/>
      <c r="S79" s="84"/>
      <c r="T79" s="84"/>
      <c r="U79" s="84"/>
      <c r="V79" s="84"/>
    </row>
    <row r="80" spans="1:18" ht="14.25">
      <c r="A80" s="131"/>
      <c r="B80" s="25" t="s">
        <v>122</v>
      </c>
      <c r="C80" s="20" t="s">
        <v>58</v>
      </c>
      <c r="D80" s="21">
        <f>D79*E80</f>
        <v>118.80000000000001</v>
      </c>
      <c r="E80" s="76">
        <v>1.1</v>
      </c>
      <c r="F80" s="57"/>
      <c r="G80" s="110"/>
      <c r="H80" s="90"/>
      <c r="I80" s="58"/>
      <c r="J80" s="58"/>
      <c r="K80" s="106"/>
      <c r="L80" s="102"/>
      <c r="M80" s="51">
        <f>L80*D80</f>
        <v>0</v>
      </c>
      <c r="N80" s="87"/>
      <c r="O80" s="45"/>
      <c r="P80" s="45">
        <f>M80</f>
        <v>0</v>
      </c>
      <c r="Q80" s="45"/>
      <c r="R80" s="45"/>
    </row>
    <row r="81" spans="1:22" s="11" customFormat="1" ht="15">
      <c r="A81" s="71"/>
      <c r="B81" s="26" t="s">
        <v>143</v>
      </c>
      <c r="C81" s="23" t="s">
        <v>58</v>
      </c>
      <c r="D81" s="24">
        <f>18.3*6.3</f>
        <v>115.29</v>
      </c>
      <c r="E81" s="77"/>
      <c r="F81" s="59"/>
      <c r="G81" s="111"/>
      <c r="H81" s="91"/>
      <c r="I81" s="60"/>
      <c r="J81" s="60"/>
      <c r="K81" s="107"/>
      <c r="L81" s="103"/>
      <c r="M81" s="52">
        <f>L81*D81</f>
        <v>0</v>
      </c>
      <c r="N81" s="83"/>
      <c r="O81" s="81">
        <f>M81</f>
        <v>0</v>
      </c>
      <c r="P81" s="81"/>
      <c r="Q81" s="81"/>
      <c r="R81" s="81"/>
      <c r="S81" s="84"/>
      <c r="T81" s="84"/>
      <c r="U81" s="84"/>
      <c r="V81" s="84"/>
    </row>
    <row r="82" spans="1:18" ht="14.25">
      <c r="A82" s="131"/>
      <c r="B82" s="25" t="s">
        <v>144</v>
      </c>
      <c r="C82" s="20" t="s">
        <v>1</v>
      </c>
      <c r="D82" s="21">
        <f>D81*E82</f>
        <v>1152.9</v>
      </c>
      <c r="E82" s="76">
        <v>10</v>
      </c>
      <c r="F82" s="57"/>
      <c r="G82" s="110"/>
      <c r="H82" s="90"/>
      <c r="I82" s="58"/>
      <c r="J82" s="58"/>
      <c r="K82" s="106"/>
      <c r="L82" s="102"/>
      <c r="M82" s="51">
        <f>L82*D82</f>
        <v>0</v>
      </c>
      <c r="N82" s="87"/>
      <c r="O82" s="45"/>
      <c r="P82" s="45">
        <f>M82</f>
        <v>0</v>
      </c>
      <c r="Q82" s="45"/>
      <c r="R82" s="45"/>
    </row>
    <row r="83" spans="1:18" ht="14.25">
      <c r="A83" s="131"/>
      <c r="B83" s="25" t="s">
        <v>145</v>
      </c>
      <c r="C83" s="20" t="s">
        <v>58</v>
      </c>
      <c r="D83" s="184">
        <f>D81*E83</f>
        <v>138.348</v>
      </c>
      <c r="E83" s="76">
        <v>1.2</v>
      </c>
      <c r="F83" s="57"/>
      <c r="G83" s="110"/>
      <c r="H83" s="90"/>
      <c r="I83" s="58"/>
      <c r="J83" s="58"/>
      <c r="K83" s="106"/>
      <c r="L83" s="102"/>
      <c r="M83" s="51">
        <f>L83*D83</f>
        <v>0</v>
      </c>
      <c r="N83" s="87"/>
      <c r="O83" s="45"/>
      <c r="P83" s="45">
        <f>M83</f>
        <v>0</v>
      </c>
      <c r="Q83" s="45"/>
      <c r="R83" s="45"/>
    </row>
    <row r="84" spans="1:22" s="11" customFormat="1" ht="15">
      <c r="A84" s="71"/>
      <c r="B84" s="26" t="s">
        <v>152</v>
      </c>
      <c r="C84" s="23" t="s">
        <v>150</v>
      </c>
      <c r="D84" s="24">
        <f>18.3+6.3*2</f>
        <v>30.9</v>
      </c>
      <c r="E84" s="77"/>
      <c r="F84" s="59"/>
      <c r="G84" s="111"/>
      <c r="H84" s="91"/>
      <c r="I84" s="60"/>
      <c r="J84" s="60"/>
      <c r="K84" s="107"/>
      <c r="L84" s="103"/>
      <c r="M84" s="52">
        <f>L84*D84</f>
        <v>0</v>
      </c>
      <c r="N84" s="83"/>
      <c r="O84" s="81">
        <f>M84</f>
        <v>0</v>
      </c>
      <c r="P84" s="81"/>
      <c r="Q84" s="81"/>
      <c r="R84" s="81"/>
      <c r="S84" s="84"/>
      <c r="T84" s="84"/>
      <c r="U84" s="84"/>
      <c r="V84" s="84"/>
    </row>
    <row r="85" spans="1:18" ht="14.25">
      <c r="A85" s="131"/>
      <c r="B85" s="25" t="s">
        <v>144</v>
      </c>
      <c r="C85" s="20" t="s">
        <v>1</v>
      </c>
      <c r="D85" s="21">
        <f>D84*E85</f>
        <v>309</v>
      </c>
      <c r="E85" s="76">
        <v>10</v>
      </c>
      <c r="F85" s="57"/>
      <c r="G85" s="110"/>
      <c r="H85" s="90"/>
      <c r="I85" s="58"/>
      <c r="J85" s="58"/>
      <c r="K85" s="106"/>
      <c r="L85" s="102"/>
      <c r="M85" s="51">
        <f aca="true" t="shared" si="4" ref="M84:M89">L85*D85</f>
        <v>0</v>
      </c>
      <c r="N85" s="87"/>
      <c r="O85" s="45"/>
      <c r="P85" s="45">
        <f>M85</f>
        <v>0</v>
      </c>
      <c r="Q85" s="45"/>
      <c r="R85" s="45"/>
    </row>
    <row r="86" spans="1:18" ht="14.25">
      <c r="A86" s="131"/>
      <c r="B86" s="25" t="s">
        <v>151</v>
      </c>
      <c r="C86" s="20" t="s">
        <v>58</v>
      </c>
      <c r="D86" s="184">
        <f>D84*E86</f>
        <v>37.08</v>
      </c>
      <c r="E86" s="76">
        <v>1.2</v>
      </c>
      <c r="F86" s="57"/>
      <c r="G86" s="110"/>
      <c r="H86" s="90"/>
      <c r="I86" s="58"/>
      <c r="J86" s="58"/>
      <c r="K86" s="106"/>
      <c r="L86" s="102"/>
      <c r="M86" s="51">
        <f t="shared" si="4"/>
        <v>0</v>
      </c>
      <c r="N86" s="87"/>
      <c r="O86" s="45"/>
      <c r="P86" s="45">
        <f>M86</f>
        <v>0</v>
      </c>
      <c r="Q86" s="45"/>
      <c r="R86" s="45"/>
    </row>
    <row r="87" spans="1:22" s="11" customFormat="1" ht="15">
      <c r="A87" s="71"/>
      <c r="B87" s="26" t="s">
        <v>153</v>
      </c>
      <c r="C87" s="23" t="s">
        <v>150</v>
      </c>
      <c r="D87" s="24">
        <f>18.3+6*3</f>
        <v>36.3</v>
      </c>
      <c r="E87" s="77"/>
      <c r="F87" s="59"/>
      <c r="G87" s="111"/>
      <c r="H87" s="91"/>
      <c r="I87" s="60"/>
      <c r="J87" s="60"/>
      <c r="K87" s="107"/>
      <c r="L87" s="103"/>
      <c r="M87" s="52">
        <f t="shared" si="4"/>
        <v>0</v>
      </c>
      <c r="N87" s="83"/>
      <c r="O87" s="81">
        <f>M87</f>
        <v>0</v>
      </c>
      <c r="P87" s="81"/>
      <c r="Q87" s="81"/>
      <c r="R87" s="81"/>
      <c r="S87" s="84"/>
      <c r="T87" s="84"/>
      <c r="U87" s="84"/>
      <c r="V87" s="84"/>
    </row>
    <row r="88" spans="1:18" ht="14.25">
      <c r="A88" s="131"/>
      <c r="B88" s="25" t="s">
        <v>154</v>
      </c>
      <c r="C88" s="20" t="s">
        <v>1</v>
      </c>
      <c r="D88" s="21">
        <v>6</v>
      </c>
      <c r="E88" s="76"/>
      <c r="F88" s="57"/>
      <c r="G88" s="110"/>
      <c r="H88" s="90"/>
      <c r="I88" s="58"/>
      <c r="J88" s="58"/>
      <c r="K88" s="106"/>
      <c r="L88" s="102"/>
      <c r="M88" s="51">
        <f t="shared" si="4"/>
        <v>0</v>
      </c>
      <c r="N88" s="87"/>
      <c r="O88" s="45"/>
      <c r="P88" s="45">
        <f>M88</f>
        <v>0</v>
      </c>
      <c r="Q88" s="45"/>
      <c r="R88" s="45"/>
    </row>
    <row r="89" spans="1:18" ht="14.25">
      <c r="A89" s="131"/>
      <c r="B89" s="25" t="s">
        <v>155</v>
      </c>
      <c r="C89" s="20" t="s">
        <v>1</v>
      </c>
      <c r="D89" s="184">
        <v>5</v>
      </c>
      <c r="E89" s="76"/>
      <c r="F89" s="57"/>
      <c r="G89" s="110"/>
      <c r="H89" s="90"/>
      <c r="I89" s="58"/>
      <c r="J89" s="58"/>
      <c r="K89" s="106"/>
      <c r="L89" s="102"/>
      <c r="M89" s="51">
        <f t="shared" si="4"/>
        <v>0</v>
      </c>
      <c r="N89" s="87"/>
      <c r="O89" s="45"/>
      <c r="P89" s="45">
        <f>M89</f>
        <v>0</v>
      </c>
      <c r="Q89" s="45"/>
      <c r="R89" s="45"/>
    </row>
    <row r="90" spans="1:18" ht="14.25">
      <c r="A90" s="131"/>
      <c r="B90" s="25" t="s">
        <v>156</v>
      </c>
      <c r="C90" s="20" t="s">
        <v>1</v>
      </c>
      <c r="D90" s="184">
        <f>18.2/0.4+1</f>
        <v>46.49999999999999</v>
      </c>
      <c r="E90" s="76"/>
      <c r="F90" s="57"/>
      <c r="G90" s="110"/>
      <c r="H90" s="90"/>
      <c r="I90" s="58"/>
      <c r="J90" s="58"/>
      <c r="K90" s="106"/>
      <c r="L90" s="102"/>
      <c r="M90" s="51">
        <f>L90*D90</f>
        <v>0</v>
      </c>
      <c r="N90" s="87"/>
      <c r="O90" s="45"/>
      <c r="P90" s="45">
        <f>M90</f>
        <v>0</v>
      </c>
      <c r="Q90" s="45"/>
      <c r="R90" s="45"/>
    </row>
    <row r="91" spans="1:18" ht="14.25">
      <c r="A91" s="131"/>
      <c r="B91" s="25" t="s">
        <v>157</v>
      </c>
      <c r="C91" s="20" t="s">
        <v>1</v>
      </c>
      <c r="D91" s="1">
        <v>3</v>
      </c>
      <c r="E91" s="76"/>
      <c r="F91" s="57"/>
      <c r="G91" s="110"/>
      <c r="H91" s="90"/>
      <c r="I91" s="58"/>
      <c r="J91" s="58"/>
      <c r="K91" s="106"/>
      <c r="L91" s="102"/>
      <c r="M91" s="51">
        <f>L91*D91</f>
        <v>0</v>
      </c>
      <c r="N91" s="87"/>
      <c r="O91" s="45"/>
      <c r="P91" s="45">
        <f>M91</f>
        <v>0</v>
      </c>
      <c r="Q91" s="45"/>
      <c r="R91" s="45"/>
    </row>
    <row r="92" spans="1:18" ht="14.25">
      <c r="A92" s="131"/>
      <c r="B92" s="25" t="s">
        <v>158</v>
      </c>
      <c r="C92" s="20" t="s">
        <v>1</v>
      </c>
      <c r="D92" s="184">
        <v>2</v>
      </c>
      <c r="E92" s="76"/>
      <c r="F92" s="57"/>
      <c r="G92" s="110"/>
      <c r="H92" s="90"/>
      <c r="I92" s="58"/>
      <c r="J92" s="58"/>
      <c r="K92" s="106"/>
      <c r="L92" s="102"/>
      <c r="M92" s="51">
        <f>L92*D92</f>
        <v>0</v>
      </c>
      <c r="N92" s="87"/>
      <c r="O92" s="45"/>
      <c r="P92" s="45">
        <f>M92</f>
        <v>0</v>
      </c>
      <c r="Q92" s="45"/>
      <c r="R92" s="45"/>
    </row>
    <row r="93" spans="1:18" ht="14.25">
      <c r="A93" s="131"/>
      <c r="B93" s="25" t="s">
        <v>159</v>
      </c>
      <c r="C93" s="20" t="s">
        <v>1</v>
      </c>
      <c r="D93" s="21">
        <v>6</v>
      </c>
      <c r="E93" s="76"/>
      <c r="F93" s="57"/>
      <c r="G93" s="110"/>
      <c r="H93" s="90"/>
      <c r="I93" s="58"/>
      <c r="J93" s="58"/>
      <c r="K93" s="106"/>
      <c r="L93" s="102"/>
      <c r="M93" s="51">
        <f>L93*D93</f>
        <v>0</v>
      </c>
      <c r="N93" s="87"/>
      <c r="O93" s="45"/>
      <c r="P93" s="45">
        <f>M93</f>
        <v>0</v>
      </c>
      <c r="Q93" s="45"/>
      <c r="R93" s="45"/>
    </row>
    <row r="94" spans="1:18" ht="14.25">
      <c r="A94" s="131"/>
      <c r="B94" s="25" t="s">
        <v>160</v>
      </c>
      <c r="C94" s="20" t="s">
        <v>1</v>
      </c>
      <c r="D94" s="21">
        <f>6/0.5*3</f>
        <v>36</v>
      </c>
      <c r="E94" s="76"/>
      <c r="F94" s="57"/>
      <c r="G94" s="110"/>
      <c r="H94" s="90"/>
      <c r="I94" s="58"/>
      <c r="J94" s="58"/>
      <c r="K94" s="106"/>
      <c r="L94" s="102"/>
      <c r="M94" s="51">
        <f>L94*D94</f>
        <v>0</v>
      </c>
      <c r="N94" s="87"/>
      <c r="O94" s="45"/>
      <c r="P94" s="45">
        <f>M94</f>
        <v>0</v>
      </c>
      <c r="Q94" s="45"/>
      <c r="R94" s="45"/>
    </row>
    <row r="95" spans="1:18" ht="14.25">
      <c r="A95" s="131"/>
      <c r="B95" s="25" t="s">
        <v>161</v>
      </c>
      <c r="C95" s="20" t="s">
        <v>1</v>
      </c>
      <c r="D95" s="21">
        <v>3</v>
      </c>
      <c r="E95" s="76"/>
      <c r="F95" s="57"/>
      <c r="G95" s="110"/>
      <c r="H95" s="90"/>
      <c r="I95" s="58"/>
      <c r="J95" s="58"/>
      <c r="K95" s="106"/>
      <c r="L95" s="102"/>
      <c r="M95" s="51">
        <f>L95*D95</f>
        <v>0</v>
      </c>
      <c r="N95" s="87"/>
      <c r="O95" s="45"/>
      <c r="P95" s="45">
        <f>M95</f>
        <v>0</v>
      </c>
      <c r="Q95" s="45"/>
      <c r="R95" s="45"/>
    </row>
    <row r="96" spans="1:18" ht="15">
      <c r="A96" s="172" t="s">
        <v>162</v>
      </c>
      <c r="B96" s="173"/>
      <c r="C96" s="174"/>
      <c r="D96" s="175"/>
      <c r="E96" s="176"/>
      <c r="F96" s="177"/>
      <c r="G96" s="178"/>
      <c r="H96" s="179"/>
      <c r="I96" s="180"/>
      <c r="J96" s="180"/>
      <c r="K96" s="181"/>
      <c r="L96" s="182"/>
      <c r="M96" s="183"/>
      <c r="N96" s="87"/>
      <c r="O96" s="45"/>
      <c r="P96" s="45"/>
      <c r="Q96" s="45"/>
      <c r="R96" s="45"/>
    </row>
    <row r="97" spans="1:22" s="11" customFormat="1" ht="15">
      <c r="A97" s="71"/>
      <c r="B97" s="26" t="s">
        <v>163</v>
      </c>
      <c r="C97" s="23" t="s">
        <v>58</v>
      </c>
      <c r="D97" s="24">
        <f>(6.3*2+18.3*2)*6-(R20+V20)</f>
        <v>281.95000000000005</v>
      </c>
      <c r="E97" s="77"/>
      <c r="F97" s="59"/>
      <c r="G97" s="111"/>
      <c r="H97" s="91"/>
      <c r="I97" s="60"/>
      <c r="J97" s="60"/>
      <c r="K97" s="107"/>
      <c r="L97" s="103"/>
      <c r="M97" s="52">
        <f>L97*D97</f>
        <v>0</v>
      </c>
      <c r="N97" s="83"/>
      <c r="O97" s="81">
        <f>M97</f>
        <v>0</v>
      </c>
      <c r="P97" s="81"/>
      <c r="Q97" s="81"/>
      <c r="R97" s="81"/>
      <c r="S97" s="84"/>
      <c r="T97" s="84"/>
      <c r="U97" s="84"/>
      <c r="V97" s="84"/>
    </row>
    <row r="98" spans="1:18" ht="14.25">
      <c r="A98" s="131"/>
      <c r="B98" s="25" t="s">
        <v>177</v>
      </c>
      <c r="C98" s="20" t="s">
        <v>98</v>
      </c>
      <c r="D98" s="21">
        <f>D97*E98</f>
        <v>42.292500000000004</v>
      </c>
      <c r="E98" s="76">
        <v>0.15</v>
      </c>
      <c r="F98" s="57"/>
      <c r="G98" s="110"/>
      <c r="H98" s="90"/>
      <c r="I98" s="58"/>
      <c r="J98" s="58"/>
      <c r="K98" s="106"/>
      <c r="L98" s="102"/>
      <c r="M98" s="51">
        <f>L98*D98</f>
        <v>0</v>
      </c>
      <c r="N98" s="87"/>
      <c r="O98" s="45"/>
      <c r="P98" s="45">
        <f>M98</f>
        <v>0</v>
      </c>
      <c r="Q98" s="45"/>
      <c r="R98" s="45"/>
    </row>
    <row r="99" spans="1:22" s="11" customFormat="1" ht="15">
      <c r="A99" s="71"/>
      <c r="B99" s="26" t="s">
        <v>164</v>
      </c>
      <c r="C99" s="23" t="s">
        <v>58</v>
      </c>
      <c r="D99" s="24">
        <f>(6.3*2+18.3*2)*6-(R20+V20)</f>
        <v>281.95000000000005</v>
      </c>
      <c r="E99" s="77"/>
      <c r="F99" s="59"/>
      <c r="G99" s="111"/>
      <c r="H99" s="91"/>
      <c r="I99" s="60"/>
      <c r="J99" s="60"/>
      <c r="K99" s="107"/>
      <c r="L99" s="103"/>
      <c r="M99" s="52">
        <f>L99*D99</f>
        <v>0</v>
      </c>
      <c r="N99" s="83"/>
      <c r="O99" s="81">
        <f>M99</f>
        <v>0</v>
      </c>
      <c r="P99" s="81"/>
      <c r="Q99" s="81"/>
      <c r="R99" s="81"/>
      <c r="S99" s="84"/>
      <c r="T99" s="84"/>
      <c r="U99" s="84"/>
      <c r="V99" s="84"/>
    </row>
    <row r="100" spans="1:18" ht="14.25">
      <c r="A100" s="131"/>
      <c r="B100" s="25" t="s">
        <v>165</v>
      </c>
      <c r="C100" s="20" t="s">
        <v>83</v>
      </c>
      <c r="D100" s="21">
        <f>D99*E100*0.15</f>
        <v>46.52175000000001</v>
      </c>
      <c r="E100" s="76">
        <v>1.1</v>
      </c>
      <c r="F100" s="57"/>
      <c r="G100" s="110"/>
      <c r="H100" s="90"/>
      <c r="I100" s="58"/>
      <c r="J100" s="58"/>
      <c r="K100" s="106"/>
      <c r="L100" s="102"/>
      <c r="M100" s="51">
        <f>L100*D100</f>
        <v>0</v>
      </c>
      <c r="N100" s="87"/>
      <c r="O100" s="45"/>
      <c r="P100" s="45">
        <f>M100</f>
        <v>0</v>
      </c>
      <c r="Q100" s="45"/>
      <c r="R100" s="45"/>
    </row>
    <row r="101" spans="1:18" ht="14.25">
      <c r="A101" s="131"/>
      <c r="B101" s="25" t="s">
        <v>178</v>
      </c>
      <c r="C101" s="20" t="s">
        <v>25</v>
      </c>
      <c r="D101" s="21">
        <f>D99*E101</f>
        <v>1409.7500000000002</v>
      </c>
      <c r="E101" s="76">
        <v>5</v>
      </c>
      <c r="F101" s="57"/>
      <c r="G101" s="110"/>
      <c r="H101" s="90"/>
      <c r="I101" s="58"/>
      <c r="J101" s="58"/>
      <c r="K101" s="106"/>
      <c r="L101" s="102"/>
      <c r="M101" s="51">
        <f>L101*D101</f>
        <v>0</v>
      </c>
      <c r="N101" s="87"/>
      <c r="O101" s="45"/>
      <c r="P101" s="45">
        <f>M101</f>
        <v>0</v>
      </c>
      <c r="Q101" s="45"/>
      <c r="R101" s="45"/>
    </row>
    <row r="102" spans="1:18" ht="28.5">
      <c r="A102" s="131"/>
      <c r="B102" s="25" t="s">
        <v>166</v>
      </c>
      <c r="C102" s="20" t="s">
        <v>167</v>
      </c>
      <c r="D102" s="21">
        <f>D99*E102</f>
        <v>2255.6000000000004</v>
      </c>
      <c r="E102" s="76">
        <v>8</v>
      </c>
      <c r="F102" s="57"/>
      <c r="G102" s="110"/>
      <c r="H102" s="90"/>
      <c r="I102" s="58"/>
      <c r="J102" s="58"/>
      <c r="K102" s="106"/>
      <c r="L102" s="102"/>
      <c r="M102" s="51">
        <f>L102*D102</f>
        <v>0</v>
      </c>
      <c r="N102" s="87"/>
      <c r="O102" s="45"/>
      <c r="P102" s="45">
        <f>M102</f>
        <v>0</v>
      </c>
      <c r="Q102" s="45"/>
      <c r="R102" s="45"/>
    </row>
    <row r="103" spans="1:22" s="11" customFormat="1" ht="15">
      <c r="A103" s="71"/>
      <c r="B103" s="26" t="s">
        <v>168</v>
      </c>
      <c r="C103" s="23" t="s">
        <v>27</v>
      </c>
      <c r="D103" s="24">
        <f>(6.6*2+18.6*2)*6-(R20+V20)</f>
        <v>289.15000000000003</v>
      </c>
      <c r="E103" s="77"/>
      <c r="F103" s="59"/>
      <c r="G103" s="111"/>
      <c r="H103" s="91"/>
      <c r="I103" s="60"/>
      <c r="J103" s="60"/>
      <c r="K103" s="107"/>
      <c r="L103" s="103"/>
      <c r="M103" s="52">
        <f>L103*D103</f>
        <v>0</v>
      </c>
      <c r="N103" s="83"/>
      <c r="O103" s="81">
        <f>M103</f>
        <v>0</v>
      </c>
      <c r="P103" s="81"/>
      <c r="Q103" s="81"/>
      <c r="R103" s="81"/>
      <c r="S103" s="84"/>
      <c r="T103" s="84"/>
      <c r="U103" s="84"/>
      <c r="V103" s="84"/>
    </row>
    <row r="104" spans="1:18" ht="14.25">
      <c r="A104" s="131"/>
      <c r="B104" s="25" t="s">
        <v>180</v>
      </c>
      <c r="C104" s="20" t="s">
        <v>25</v>
      </c>
      <c r="D104" s="21">
        <f>D103*E104</f>
        <v>1445.7500000000002</v>
      </c>
      <c r="E104" s="76">
        <v>5</v>
      </c>
      <c r="F104" s="57"/>
      <c r="G104" s="110"/>
      <c r="H104" s="90"/>
      <c r="I104" s="58"/>
      <c r="J104" s="58"/>
      <c r="K104" s="106"/>
      <c r="L104" s="102"/>
      <c r="M104" s="51">
        <f>L104*D104</f>
        <v>0</v>
      </c>
      <c r="N104" s="87"/>
      <c r="O104" s="45"/>
      <c r="P104" s="45">
        <f>M104</f>
        <v>0</v>
      </c>
      <c r="Q104" s="45"/>
      <c r="R104" s="45"/>
    </row>
    <row r="105" spans="1:18" ht="14.25">
      <c r="A105" s="131"/>
      <c r="B105" s="25" t="s">
        <v>179</v>
      </c>
      <c r="C105" s="20" t="s">
        <v>27</v>
      </c>
      <c r="D105" s="21">
        <f>D103*E105</f>
        <v>318.06500000000005</v>
      </c>
      <c r="E105" s="76">
        <v>1.1</v>
      </c>
      <c r="F105" s="57"/>
      <c r="G105" s="110"/>
      <c r="H105" s="90"/>
      <c r="I105" s="58"/>
      <c r="J105" s="58"/>
      <c r="K105" s="106"/>
      <c r="L105" s="102"/>
      <c r="M105" s="51">
        <f>L105*D105</f>
        <v>0</v>
      </c>
      <c r="N105" s="87"/>
      <c r="O105" s="45"/>
      <c r="P105" s="45">
        <f>M105</f>
        <v>0</v>
      </c>
      <c r="Q105" s="45"/>
      <c r="R105" s="45"/>
    </row>
    <row r="106" spans="1:18" ht="14.25">
      <c r="A106" s="131"/>
      <c r="B106" s="25" t="s">
        <v>169</v>
      </c>
      <c r="C106" s="20" t="s">
        <v>150</v>
      </c>
      <c r="D106" s="21">
        <f>(6.6*2+18.6*2)*E106</f>
        <v>55.44000000000001</v>
      </c>
      <c r="E106" s="76">
        <v>1.1</v>
      </c>
      <c r="F106" s="57"/>
      <c r="G106" s="110"/>
      <c r="H106" s="90"/>
      <c r="I106" s="58"/>
      <c r="J106" s="58"/>
      <c r="K106" s="106"/>
      <c r="L106" s="102"/>
      <c r="M106" s="51">
        <f>L106*D106</f>
        <v>0</v>
      </c>
      <c r="N106" s="87"/>
      <c r="O106" s="45"/>
      <c r="P106" s="45">
        <f>M106</f>
        <v>0</v>
      </c>
      <c r="Q106" s="45"/>
      <c r="R106" s="45"/>
    </row>
    <row r="107" spans="1:18" ht="14.25">
      <c r="A107" s="131"/>
      <c r="B107" s="25" t="s">
        <v>170</v>
      </c>
      <c r="C107" s="20" t="s">
        <v>150</v>
      </c>
      <c r="D107" s="21"/>
      <c r="E107" s="76"/>
      <c r="F107" s="57"/>
      <c r="G107" s="110"/>
      <c r="H107" s="90"/>
      <c r="I107" s="58"/>
      <c r="J107" s="58"/>
      <c r="K107" s="106"/>
      <c r="L107" s="102"/>
      <c r="M107" s="51">
        <f>L107*D107</f>
        <v>0</v>
      </c>
      <c r="N107" s="87"/>
      <c r="O107" s="45"/>
      <c r="P107" s="45">
        <f>M107</f>
        <v>0</v>
      </c>
      <c r="Q107" s="45"/>
      <c r="R107" s="45"/>
    </row>
    <row r="108" spans="1:18" ht="14.25">
      <c r="A108" s="131"/>
      <c r="B108" s="25" t="s">
        <v>171</v>
      </c>
      <c r="C108" s="20" t="s">
        <v>150</v>
      </c>
      <c r="D108" s="21">
        <f>6*4*E108</f>
        <v>26.400000000000002</v>
      </c>
      <c r="E108" s="76">
        <v>1.1</v>
      </c>
      <c r="F108" s="57"/>
      <c r="G108" s="110"/>
      <c r="H108" s="90"/>
      <c r="I108" s="58"/>
      <c r="J108" s="58"/>
      <c r="K108" s="106"/>
      <c r="L108" s="102"/>
      <c r="M108" s="51">
        <f>L108*D108</f>
        <v>0</v>
      </c>
      <c r="N108" s="87"/>
      <c r="O108" s="45"/>
      <c r="P108" s="45">
        <f>M108</f>
        <v>0</v>
      </c>
      <c r="Q108" s="45"/>
      <c r="R108" s="45"/>
    </row>
    <row r="109" spans="1:22" s="11" customFormat="1" ht="15">
      <c r="A109" s="71"/>
      <c r="B109" s="26" t="s">
        <v>173</v>
      </c>
      <c r="C109" s="23" t="s">
        <v>58</v>
      </c>
      <c r="D109" s="24">
        <f>(6.6*2+18.6*2)*6-(R20+V20)</f>
        <v>289.15000000000003</v>
      </c>
      <c r="E109" s="77"/>
      <c r="F109" s="59"/>
      <c r="G109" s="111"/>
      <c r="H109" s="91"/>
      <c r="I109" s="60"/>
      <c r="J109" s="60"/>
      <c r="K109" s="107"/>
      <c r="L109" s="103"/>
      <c r="M109" s="52">
        <f>L109*D109</f>
        <v>0</v>
      </c>
      <c r="N109" s="83"/>
      <c r="O109" s="81">
        <f>M109</f>
        <v>0</v>
      </c>
      <c r="P109" s="81"/>
      <c r="Q109" s="81"/>
      <c r="R109" s="81"/>
      <c r="S109" s="84"/>
      <c r="T109" s="84"/>
      <c r="U109" s="84"/>
      <c r="V109" s="84"/>
    </row>
    <row r="110" spans="1:18" ht="14.25">
      <c r="A110" s="131"/>
      <c r="B110" s="25" t="s">
        <v>181</v>
      </c>
      <c r="C110" s="20" t="s">
        <v>98</v>
      </c>
      <c r="D110" s="21">
        <f>D109*E110</f>
        <v>86.745</v>
      </c>
      <c r="E110" s="76">
        <v>0.3</v>
      </c>
      <c r="F110" s="57"/>
      <c r="G110" s="110"/>
      <c r="H110" s="90"/>
      <c r="I110" s="58"/>
      <c r="J110" s="58"/>
      <c r="K110" s="106"/>
      <c r="L110" s="102"/>
      <c r="M110" s="51">
        <f>L110*D110</f>
        <v>0</v>
      </c>
      <c r="N110" s="87"/>
      <c r="O110" s="45"/>
      <c r="P110" s="45">
        <f>M110</f>
        <v>0</v>
      </c>
      <c r="Q110" s="45"/>
      <c r="R110" s="45"/>
    </row>
    <row r="111" spans="1:22" s="11" customFormat="1" ht="15">
      <c r="A111" s="71"/>
      <c r="B111" s="26" t="s">
        <v>172</v>
      </c>
      <c r="C111" s="23" t="s">
        <v>58</v>
      </c>
      <c r="D111" s="24">
        <f>(6.6*2+18.6*2)*6-(R20+V20)</f>
        <v>289.15000000000003</v>
      </c>
      <c r="E111" s="77"/>
      <c r="F111" s="59"/>
      <c r="G111" s="111"/>
      <c r="H111" s="91"/>
      <c r="I111" s="60"/>
      <c r="J111" s="60"/>
      <c r="K111" s="107"/>
      <c r="L111" s="103"/>
      <c r="M111" s="52">
        <f>L111*D111</f>
        <v>0</v>
      </c>
      <c r="N111" s="83"/>
      <c r="O111" s="81">
        <f>M111</f>
        <v>0</v>
      </c>
      <c r="P111" s="81"/>
      <c r="Q111" s="81"/>
      <c r="R111" s="81"/>
      <c r="S111" s="84"/>
      <c r="T111" s="84"/>
      <c r="U111" s="84"/>
      <c r="V111" s="84"/>
    </row>
    <row r="112" spans="1:18" ht="14.25">
      <c r="A112" s="131"/>
      <c r="B112" s="25" t="s">
        <v>182</v>
      </c>
      <c r="C112" s="20" t="s">
        <v>98</v>
      </c>
      <c r="D112" s="21">
        <f>D111*E112</f>
        <v>867.45</v>
      </c>
      <c r="E112" s="76">
        <v>3</v>
      </c>
      <c r="F112" s="57"/>
      <c r="G112" s="110"/>
      <c r="H112" s="90"/>
      <c r="I112" s="58"/>
      <c r="J112" s="58"/>
      <c r="K112" s="106"/>
      <c r="L112" s="102"/>
      <c r="M112" s="51">
        <f>L112*D112</f>
        <v>0</v>
      </c>
      <c r="N112" s="87"/>
      <c r="O112" s="45"/>
      <c r="P112" s="45">
        <f>M112</f>
        <v>0</v>
      </c>
      <c r="Q112" s="45"/>
      <c r="R112" s="45"/>
    </row>
    <row r="113" spans="1:18" ht="15">
      <c r="A113" s="172" t="s">
        <v>174</v>
      </c>
      <c r="B113" s="173"/>
      <c r="C113" s="174"/>
      <c r="D113" s="175"/>
      <c r="E113" s="176"/>
      <c r="F113" s="177"/>
      <c r="G113" s="178"/>
      <c r="H113" s="179"/>
      <c r="I113" s="180"/>
      <c r="J113" s="180"/>
      <c r="K113" s="181"/>
      <c r="L113" s="182"/>
      <c r="M113" s="183"/>
      <c r="N113" s="87"/>
      <c r="O113" s="45"/>
      <c r="P113" s="45"/>
      <c r="Q113" s="45"/>
      <c r="R113" s="45"/>
    </row>
    <row r="114" spans="1:22" s="11" customFormat="1" ht="15">
      <c r="A114" s="71"/>
      <c r="B114" s="26" t="s">
        <v>175</v>
      </c>
      <c r="C114" s="23" t="s">
        <v>58</v>
      </c>
      <c r="D114" s="24">
        <f>R15+R16+V15+V16</f>
        <v>6.760000000000001</v>
      </c>
      <c r="E114" s="77"/>
      <c r="F114" s="59"/>
      <c r="G114" s="111"/>
      <c r="H114" s="91"/>
      <c r="I114" s="60"/>
      <c r="J114" s="60"/>
      <c r="K114" s="107"/>
      <c r="L114" s="103"/>
      <c r="M114" s="52">
        <f>L114*D114</f>
        <v>0</v>
      </c>
      <c r="N114" s="83"/>
      <c r="O114" s="81">
        <f>M114</f>
        <v>0</v>
      </c>
      <c r="P114" s="81"/>
      <c r="Q114" s="81"/>
      <c r="R114" s="81"/>
      <c r="S114" s="84"/>
      <c r="T114" s="84"/>
      <c r="U114" s="84"/>
      <c r="V114" s="84"/>
    </row>
    <row r="115" spans="1:18" ht="14.25">
      <c r="A115" s="131"/>
      <c r="B115" s="25"/>
      <c r="C115" s="20"/>
      <c r="D115" s="21"/>
      <c r="E115" s="76"/>
      <c r="F115" s="57"/>
      <c r="G115" s="110"/>
      <c r="H115" s="90"/>
      <c r="I115" s="58"/>
      <c r="J115" s="58"/>
      <c r="K115" s="106"/>
      <c r="L115" s="102"/>
      <c r="M115" s="51"/>
      <c r="N115" s="87"/>
      <c r="O115" s="45"/>
      <c r="P115" s="45"/>
      <c r="Q115" s="45"/>
      <c r="R115" s="45"/>
    </row>
    <row r="116" spans="1:18" ht="15">
      <c r="A116" s="131"/>
      <c r="B116" s="26" t="s">
        <v>176</v>
      </c>
      <c r="C116" s="23" t="s">
        <v>58</v>
      </c>
      <c r="D116" s="21">
        <f>R17+R18</f>
        <v>4.41</v>
      </c>
      <c r="E116" s="76"/>
      <c r="F116" s="57"/>
      <c r="G116" s="110"/>
      <c r="H116" s="90"/>
      <c r="I116" s="58"/>
      <c r="J116" s="58"/>
      <c r="K116" s="106"/>
      <c r="L116" s="102"/>
      <c r="M116" s="52">
        <f>L116*D116</f>
        <v>0</v>
      </c>
      <c r="N116" s="83"/>
      <c r="O116" s="81">
        <f>M116</f>
        <v>0</v>
      </c>
      <c r="P116" s="81"/>
      <c r="Q116" s="45"/>
      <c r="R116" s="45"/>
    </row>
    <row r="117" spans="1:18" ht="15">
      <c r="A117" s="131"/>
      <c r="B117" s="26"/>
      <c r="C117" s="23"/>
      <c r="D117" s="21"/>
      <c r="E117" s="76"/>
      <c r="F117" s="57"/>
      <c r="G117" s="110"/>
      <c r="H117" s="90"/>
      <c r="I117" s="58"/>
      <c r="J117" s="58"/>
      <c r="K117" s="106"/>
      <c r="L117" s="102"/>
      <c r="M117" s="52"/>
      <c r="N117" s="83"/>
      <c r="O117" s="81"/>
      <c r="P117" s="81"/>
      <c r="Q117" s="45"/>
      <c r="R117" s="45"/>
    </row>
    <row r="118" spans="1:18" ht="15">
      <c r="A118" s="172" t="s">
        <v>189</v>
      </c>
      <c r="B118" s="173"/>
      <c r="C118" s="174"/>
      <c r="D118" s="175"/>
      <c r="E118" s="176"/>
      <c r="F118" s="177"/>
      <c r="G118" s="178"/>
      <c r="H118" s="179"/>
      <c r="I118" s="180"/>
      <c r="J118" s="180"/>
      <c r="K118" s="181"/>
      <c r="L118" s="182"/>
      <c r="M118" s="183"/>
      <c r="N118" s="87"/>
      <c r="O118" s="45"/>
      <c r="P118" s="45"/>
      <c r="Q118" s="45"/>
      <c r="R118" s="45"/>
    </row>
    <row r="119" spans="1:22" s="11" customFormat="1" ht="30">
      <c r="A119" s="71"/>
      <c r="B119" s="26" t="s">
        <v>187</v>
      </c>
      <c r="C119" s="23" t="s">
        <v>47</v>
      </c>
      <c r="D119" s="24">
        <v>3</v>
      </c>
      <c r="E119" s="77"/>
      <c r="F119" s="59"/>
      <c r="G119" s="111"/>
      <c r="H119" s="91"/>
      <c r="I119" s="60"/>
      <c r="J119" s="60"/>
      <c r="K119" s="107"/>
      <c r="L119" s="103"/>
      <c r="M119" s="52">
        <f>L119*D119</f>
        <v>0</v>
      </c>
      <c r="N119" s="83"/>
      <c r="O119" s="81">
        <f>M119</f>
        <v>0</v>
      </c>
      <c r="P119" s="81"/>
      <c r="Q119" s="81"/>
      <c r="R119" s="81"/>
      <c r="S119" s="84"/>
      <c r="T119" s="84"/>
      <c r="U119" s="84"/>
      <c r="V119" s="84"/>
    </row>
    <row r="120" spans="1:18" ht="15">
      <c r="A120" s="131"/>
      <c r="B120" s="26" t="s">
        <v>188</v>
      </c>
      <c r="C120" s="23" t="s">
        <v>47</v>
      </c>
      <c r="D120" s="24">
        <v>3</v>
      </c>
      <c r="E120" s="76"/>
      <c r="F120" s="57"/>
      <c r="G120" s="110"/>
      <c r="H120" s="90"/>
      <c r="I120" s="58"/>
      <c r="J120" s="58"/>
      <c r="K120" s="106"/>
      <c r="L120" s="102"/>
      <c r="M120" s="52">
        <f>L120*D120</f>
        <v>0</v>
      </c>
      <c r="N120" s="83"/>
      <c r="O120" s="81">
        <f>M120</f>
        <v>0</v>
      </c>
      <c r="P120" s="81"/>
      <c r="Q120" s="45"/>
      <c r="R120" s="45"/>
    </row>
    <row r="121" spans="1:18" ht="15">
      <c r="A121" s="131"/>
      <c r="B121" s="26" t="s">
        <v>190</v>
      </c>
      <c r="C121" s="23" t="s">
        <v>47</v>
      </c>
      <c r="D121" s="24">
        <v>3</v>
      </c>
      <c r="E121" s="76"/>
      <c r="F121" s="57"/>
      <c r="G121" s="110"/>
      <c r="H121" s="90"/>
      <c r="I121" s="58"/>
      <c r="J121" s="58"/>
      <c r="K121" s="106"/>
      <c r="L121" s="102"/>
      <c r="M121" s="52">
        <f>L121*D121</f>
        <v>0</v>
      </c>
      <c r="N121" s="83"/>
      <c r="O121" s="81">
        <f>M121</f>
        <v>0</v>
      </c>
      <c r="P121" s="81"/>
      <c r="Q121" s="45"/>
      <c r="R121" s="45"/>
    </row>
    <row r="122" spans="1:18" ht="15">
      <c r="A122" s="131"/>
      <c r="B122" s="26" t="s">
        <v>191</v>
      </c>
      <c r="C122" s="23" t="s">
        <v>47</v>
      </c>
      <c r="D122" s="24">
        <v>3</v>
      </c>
      <c r="E122" s="76"/>
      <c r="F122" s="57"/>
      <c r="G122" s="110"/>
      <c r="H122" s="90"/>
      <c r="I122" s="58"/>
      <c r="J122" s="58"/>
      <c r="K122" s="106"/>
      <c r="L122" s="102"/>
      <c r="M122" s="52">
        <f>L122*D122</f>
        <v>0</v>
      </c>
      <c r="N122" s="83"/>
      <c r="O122" s="81">
        <f>M122</f>
        <v>0</v>
      </c>
      <c r="P122" s="81"/>
      <c r="Q122" s="45"/>
      <c r="R122" s="45"/>
    </row>
    <row r="123" spans="1:18" ht="15">
      <c r="A123" s="131"/>
      <c r="B123" s="26" t="s">
        <v>205</v>
      </c>
      <c r="C123" s="23" t="s">
        <v>47</v>
      </c>
      <c r="D123" s="24">
        <v>3</v>
      </c>
      <c r="E123" s="76"/>
      <c r="F123" s="57"/>
      <c r="G123" s="110"/>
      <c r="H123" s="90"/>
      <c r="I123" s="58"/>
      <c r="J123" s="58"/>
      <c r="K123" s="106"/>
      <c r="L123" s="102"/>
      <c r="M123" s="52">
        <f>L123*D123</f>
        <v>0</v>
      </c>
      <c r="N123" s="83"/>
      <c r="O123" s="81">
        <f>M123</f>
        <v>0</v>
      </c>
      <c r="P123" s="81"/>
      <c r="Q123" s="45"/>
      <c r="R123" s="45"/>
    </row>
    <row r="124" spans="1:18" ht="15">
      <c r="A124" s="131"/>
      <c r="B124" s="26"/>
      <c r="C124" s="23"/>
      <c r="D124" s="21"/>
      <c r="E124" s="76"/>
      <c r="F124" s="57"/>
      <c r="G124" s="110"/>
      <c r="H124" s="90"/>
      <c r="I124" s="58"/>
      <c r="J124" s="58"/>
      <c r="K124" s="106"/>
      <c r="L124" s="102"/>
      <c r="M124" s="52"/>
      <c r="N124" s="83"/>
      <c r="O124" s="81"/>
      <c r="P124" s="81"/>
      <c r="Q124" s="45"/>
      <c r="R124" s="45">
        <f>R123/27</f>
        <v>0</v>
      </c>
    </row>
    <row r="125" spans="1:18" ht="15">
      <c r="A125" s="131"/>
      <c r="B125" s="26"/>
      <c r="C125" s="23"/>
      <c r="D125" s="21"/>
      <c r="E125" s="76"/>
      <c r="F125" s="57"/>
      <c r="G125" s="110"/>
      <c r="H125" s="90"/>
      <c r="I125" s="58"/>
      <c r="J125" s="58"/>
      <c r="K125" s="106"/>
      <c r="L125" s="102"/>
      <c r="M125" s="52"/>
      <c r="N125" s="83"/>
      <c r="O125" s="81"/>
      <c r="P125" s="81"/>
      <c r="Q125" s="45"/>
      <c r="R125" s="45"/>
    </row>
    <row r="126" spans="1:18" ht="15">
      <c r="A126" s="131"/>
      <c r="B126" s="26"/>
      <c r="C126" s="23"/>
      <c r="D126" s="21"/>
      <c r="E126" s="76"/>
      <c r="F126" s="57"/>
      <c r="G126" s="110"/>
      <c r="H126" s="90"/>
      <c r="I126" s="58"/>
      <c r="J126" s="58"/>
      <c r="K126" s="106"/>
      <c r="L126" s="102"/>
      <c r="M126" s="52"/>
      <c r="N126" s="83"/>
      <c r="O126" s="81"/>
      <c r="P126" s="81"/>
      <c r="Q126" s="45"/>
      <c r="R126" s="45"/>
    </row>
    <row r="127" spans="1:22" s="11" customFormat="1" ht="15">
      <c r="A127" s="70" t="s">
        <v>99</v>
      </c>
      <c r="B127" s="26"/>
      <c r="C127" s="23"/>
      <c r="D127" s="24"/>
      <c r="E127" s="77"/>
      <c r="F127" s="59"/>
      <c r="G127" s="111"/>
      <c r="H127" s="91"/>
      <c r="I127" s="60"/>
      <c r="J127" s="60"/>
      <c r="K127" s="107"/>
      <c r="L127" s="103"/>
      <c r="M127" s="52"/>
      <c r="N127" s="83"/>
      <c r="O127" s="81"/>
      <c r="P127" s="81"/>
      <c r="Q127" s="81"/>
      <c r="R127" s="81"/>
      <c r="S127" s="84"/>
      <c r="T127" s="84"/>
      <c r="U127" s="84"/>
      <c r="V127" s="84"/>
    </row>
    <row r="128" spans="1:22" s="11" customFormat="1" ht="15">
      <c r="A128" s="114"/>
      <c r="B128" s="115" t="s">
        <v>69</v>
      </c>
      <c r="C128" s="116"/>
      <c r="D128" s="117"/>
      <c r="E128" s="118"/>
      <c r="F128" s="119"/>
      <c r="G128" s="120"/>
      <c r="H128" s="121"/>
      <c r="I128" s="122"/>
      <c r="J128" s="122"/>
      <c r="K128" s="123"/>
      <c r="L128" s="124"/>
      <c r="M128" s="125"/>
      <c r="N128" s="83"/>
      <c r="O128" s="81"/>
      <c r="P128" s="81"/>
      <c r="Q128" s="81"/>
      <c r="R128" s="81"/>
      <c r="S128" s="84"/>
      <c r="T128" s="84"/>
      <c r="U128" s="84"/>
      <c r="V128" s="84"/>
    </row>
    <row r="129" spans="1:22" s="2" customFormat="1" ht="15">
      <c r="A129" s="93"/>
      <c r="B129" s="115" t="s">
        <v>61</v>
      </c>
      <c r="C129" s="132"/>
      <c r="D129" s="133"/>
      <c r="E129" s="134"/>
      <c r="F129" s="135"/>
      <c r="G129" s="136"/>
      <c r="H129" s="137"/>
      <c r="I129" s="138"/>
      <c r="J129" s="138"/>
      <c r="K129" s="139"/>
      <c r="L129" s="140"/>
      <c r="M129" s="141"/>
      <c r="N129" s="142"/>
      <c r="O129" s="143"/>
      <c r="P129" s="143"/>
      <c r="Q129" s="143"/>
      <c r="R129" s="143"/>
      <c r="S129" s="126"/>
      <c r="T129" s="126"/>
      <c r="U129" s="126"/>
      <c r="V129" s="126"/>
    </row>
    <row r="130" spans="1:18" ht="15">
      <c r="A130" s="93"/>
      <c r="B130" s="115" t="s">
        <v>70</v>
      </c>
      <c r="C130" s="94"/>
      <c r="D130" s="95"/>
      <c r="E130" s="96"/>
      <c r="F130" s="97"/>
      <c r="G130" s="112"/>
      <c r="H130" s="98"/>
      <c r="I130" s="99"/>
      <c r="J130" s="99"/>
      <c r="K130" s="108"/>
      <c r="L130" s="102"/>
      <c r="M130" s="51"/>
      <c r="N130" s="87"/>
      <c r="O130" s="45"/>
      <c r="P130" s="45"/>
      <c r="Q130" s="45"/>
      <c r="R130" s="45"/>
    </row>
    <row r="131" spans="1:21" s="43" customFormat="1" ht="15" thickBot="1">
      <c r="A131" s="72"/>
      <c r="B131" s="73"/>
      <c r="C131" s="74"/>
      <c r="D131" s="53"/>
      <c r="E131" s="78"/>
      <c r="F131" s="61"/>
      <c r="G131" s="113"/>
      <c r="H131" s="92"/>
      <c r="I131" s="62"/>
      <c r="J131" s="62"/>
      <c r="K131" s="109"/>
      <c r="L131" s="104"/>
      <c r="M131" s="54"/>
      <c r="N131" s="87"/>
      <c r="O131" s="45"/>
      <c r="P131" s="45"/>
      <c r="Q131" s="45"/>
      <c r="R131" s="45"/>
      <c r="S131" s="85"/>
      <c r="T131" s="85"/>
      <c r="U131" s="85"/>
    </row>
    <row r="132" spans="1:21" s="43" customFormat="1" ht="15.75">
      <c r="A132" s="63"/>
      <c r="B132" s="149" t="s">
        <v>74</v>
      </c>
      <c r="C132" s="150"/>
      <c r="D132" s="150"/>
      <c r="E132" s="150"/>
      <c r="F132" s="150"/>
      <c r="G132" s="150"/>
      <c r="H132" s="150"/>
      <c r="I132" s="150"/>
      <c r="J132" s="150"/>
      <c r="K132" s="150"/>
      <c r="L132" s="151"/>
      <c r="M132" s="64">
        <f>SUM(O12:O131)</f>
        <v>0</v>
      </c>
      <c r="N132" s="88"/>
      <c r="O132" s="82">
        <f>M132/(E10*3)</f>
        <v>0</v>
      </c>
      <c r="P132" s="82"/>
      <c r="Q132" s="82"/>
      <c r="R132" s="82"/>
      <c r="S132" s="44"/>
      <c r="T132" s="44"/>
      <c r="U132" s="44"/>
    </row>
    <row r="133" spans="1:21" s="43" customFormat="1" ht="15.75">
      <c r="A133" s="63"/>
      <c r="B133" s="149" t="s">
        <v>73</v>
      </c>
      <c r="C133" s="150"/>
      <c r="D133" s="150"/>
      <c r="E133" s="150"/>
      <c r="F133" s="150"/>
      <c r="G133" s="150"/>
      <c r="H133" s="150"/>
      <c r="I133" s="150"/>
      <c r="J133" s="150"/>
      <c r="K133" s="150"/>
      <c r="L133" s="151"/>
      <c r="M133" s="64"/>
      <c r="N133" s="88"/>
      <c r="O133" s="82"/>
      <c r="P133" s="82"/>
      <c r="Q133" s="82"/>
      <c r="R133" s="82"/>
      <c r="S133" s="44"/>
      <c r="T133" s="44"/>
      <c r="U133" s="44"/>
    </row>
    <row r="134" spans="1:21" s="43" customFormat="1" ht="15.75">
      <c r="A134" s="63"/>
      <c r="B134" s="149" t="s">
        <v>100</v>
      </c>
      <c r="C134" s="150"/>
      <c r="D134" s="150"/>
      <c r="E134" s="150"/>
      <c r="F134" s="150"/>
      <c r="G134" s="150"/>
      <c r="H134" s="150"/>
      <c r="I134" s="150"/>
      <c r="J134" s="150"/>
      <c r="K134" s="150"/>
      <c r="L134" s="151"/>
      <c r="M134" s="64">
        <f>SUM(P12:P131)</f>
        <v>0</v>
      </c>
      <c r="N134" s="88"/>
      <c r="O134" s="82"/>
      <c r="P134" s="82"/>
      <c r="Q134" s="82"/>
      <c r="R134" s="82"/>
      <c r="S134" s="44"/>
      <c r="T134" s="44"/>
      <c r="U134" s="44"/>
    </row>
    <row r="135" spans="1:14" s="43" customFormat="1" ht="15.75">
      <c r="A135" s="9"/>
      <c r="B135" s="152" t="s">
        <v>80</v>
      </c>
      <c r="C135" s="153"/>
      <c r="D135" s="153"/>
      <c r="E135" s="153"/>
      <c r="F135" s="153"/>
      <c r="G135" s="153"/>
      <c r="H135" s="153"/>
      <c r="I135" s="153"/>
      <c r="J135" s="153"/>
      <c r="K135" s="153"/>
      <c r="L135" s="79">
        <v>0.1</v>
      </c>
      <c r="M135" s="8">
        <f>L135*M133</f>
        <v>0</v>
      </c>
      <c r="N135" s="88"/>
    </row>
    <row r="136" spans="1:18" ht="15.75">
      <c r="A136" s="9"/>
      <c r="B136" s="152" t="s">
        <v>75</v>
      </c>
      <c r="C136" s="153"/>
      <c r="D136" s="153"/>
      <c r="E136" s="153"/>
      <c r="F136" s="153"/>
      <c r="G136" s="153"/>
      <c r="H136" s="153"/>
      <c r="I136" s="153"/>
      <c r="J136" s="153"/>
      <c r="K136" s="153"/>
      <c r="L136" s="154"/>
      <c r="M136" s="8">
        <f>M132+M133+M134+M135</f>
        <v>0</v>
      </c>
      <c r="N136" s="88"/>
      <c r="O136" s="43"/>
      <c r="P136" s="43"/>
      <c r="Q136" s="43"/>
      <c r="R136" s="43"/>
    </row>
    <row r="137" spans="1:18" ht="15.75">
      <c r="A137" s="9"/>
      <c r="B137" s="152" t="s">
        <v>67</v>
      </c>
      <c r="C137" s="153"/>
      <c r="D137" s="153"/>
      <c r="E137" s="153"/>
      <c r="F137" s="153"/>
      <c r="G137" s="153"/>
      <c r="H137" s="153"/>
      <c r="I137" s="153"/>
      <c r="J137" s="153"/>
      <c r="K137" s="153"/>
      <c r="L137" s="79">
        <v>0.2</v>
      </c>
      <c r="M137" s="8">
        <f>M138/6</f>
        <v>0</v>
      </c>
      <c r="N137" s="88"/>
      <c r="O137" s="43"/>
      <c r="P137" s="43"/>
      <c r="Q137" s="43"/>
      <c r="R137" s="43"/>
    </row>
    <row r="138" spans="1:18" ht="15.75">
      <c r="A138" s="9"/>
      <c r="B138" s="152" t="s">
        <v>76</v>
      </c>
      <c r="C138" s="153"/>
      <c r="D138" s="153"/>
      <c r="E138" s="153"/>
      <c r="F138" s="153"/>
      <c r="G138" s="153"/>
      <c r="H138" s="153"/>
      <c r="I138" s="153"/>
      <c r="J138" s="153"/>
      <c r="K138" s="153"/>
      <c r="L138" s="154"/>
      <c r="M138" s="8">
        <f>M136*1.2</f>
        <v>0</v>
      </c>
      <c r="N138" s="88"/>
      <c r="O138" s="43"/>
      <c r="P138" s="43"/>
      <c r="Q138" s="43"/>
      <c r="R138" s="43"/>
    </row>
    <row r="139" spans="3:18" ht="15" customHeight="1"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43"/>
      <c r="O139" s="43"/>
      <c r="P139" s="43"/>
      <c r="Q139" s="43"/>
      <c r="R139" s="43"/>
    </row>
    <row r="140" spans="3:18" ht="15" customHeight="1">
      <c r="C140" s="43"/>
      <c r="D140" s="43"/>
      <c r="E140" s="43"/>
      <c r="F140" s="130"/>
      <c r="G140" s="130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</row>
  </sheetData>
  <sheetProtection/>
  <mergeCells count="13">
    <mergeCell ref="B133:L133"/>
    <mergeCell ref="B138:L138"/>
    <mergeCell ref="C139:M139"/>
    <mergeCell ref="B135:K135"/>
    <mergeCell ref="B136:L136"/>
    <mergeCell ref="B137:K137"/>
    <mergeCell ref="B134:L134"/>
    <mergeCell ref="R14:U14"/>
    <mergeCell ref="D1:M1"/>
    <mergeCell ref="B6:M6"/>
    <mergeCell ref="B7:M7"/>
    <mergeCell ref="A9:M9"/>
    <mergeCell ref="B132:L132"/>
  </mergeCells>
  <printOptions/>
  <pageMargins left="0.2755905511811024" right="0.11811023622047245" top="0" bottom="0" header="0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SheetLayoutView="100" zoomScalePageLayoutView="0" workbookViewId="0" topLeftCell="A1">
      <selection activeCell="A15" sqref="A15"/>
    </sheetView>
  </sheetViews>
  <sheetFormatPr defaultColWidth="8.875" defaultRowHeight="15" customHeight="1"/>
  <cols>
    <col min="1" max="1" width="4.00390625" style="1" customWidth="1"/>
    <col min="2" max="2" width="52.00390625" style="2" customWidth="1"/>
    <col min="3" max="3" width="9.125" style="1" customWidth="1"/>
    <col min="4" max="4" width="9.125" style="3" customWidth="1"/>
    <col min="5" max="5" width="11.75390625" style="3" customWidth="1"/>
    <col min="6" max="6" width="13.875" style="4" customWidth="1"/>
    <col min="7" max="7" width="8.625" style="1" bestFit="1" customWidth="1"/>
    <col min="8" max="8" width="9.625" style="1" bestFit="1" customWidth="1"/>
    <col min="9" max="9" width="11.875" style="28" hidden="1" customWidth="1"/>
    <col min="10" max="10" width="6.375" style="28" hidden="1" customWidth="1"/>
    <col min="11" max="11" width="11.625" style="28" hidden="1" customWidth="1"/>
    <col min="12" max="13" width="0" style="28" hidden="1" customWidth="1"/>
    <col min="14" max="16384" width="8.875" style="1" customWidth="1"/>
  </cols>
  <sheetData>
    <row r="1" spans="2:6" ht="15" customHeight="1">
      <c r="B1" s="2" t="s">
        <v>9</v>
      </c>
      <c r="D1" s="146"/>
      <c r="E1" s="146"/>
      <c r="F1" s="146"/>
    </row>
    <row r="2" spans="2:6" ht="12.75">
      <c r="B2" s="2" t="s">
        <v>12</v>
      </c>
      <c r="D2" s="27"/>
      <c r="E2" s="27"/>
      <c r="F2" s="27"/>
    </row>
    <row r="3" spans="2:6" ht="12.75">
      <c r="B3" s="2" t="s">
        <v>13</v>
      </c>
      <c r="D3" s="27"/>
      <c r="E3" s="27"/>
      <c r="F3" s="27"/>
    </row>
    <row r="4" spans="2:6" ht="12.75">
      <c r="B4" s="2" t="s">
        <v>10</v>
      </c>
      <c r="D4" s="27"/>
      <c r="E4" s="27"/>
      <c r="F4" s="27"/>
    </row>
    <row r="5" ht="15" customHeight="1">
      <c r="B5" s="2" t="s">
        <v>15</v>
      </c>
    </row>
    <row r="6" spans="2:6" ht="12.75" customHeight="1">
      <c r="B6" s="147" t="s">
        <v>14</v>
      </c>
      <c r="C6" s="147"/>
      <c r="D6" s="147"/>
      <c r="E6" s="147"/>
      <c r="F6" s="147"/>
    </row>
    <row r="7" spans="2:6" ht="12.75">
      <c r="B7" s="147" t="s">
        <v>17</v>
      </c>
      <c r="C7" s="147"/>
      <c r="D7" s="147"/>
      <c r="E7" s="147"/>
      <c r="F7" s="147"/>
    </row>
    <row r="8" spans="3:6" ht="12.75">
      <c r="C8" s="2"/>
      <c r="D8" s="2"/>
      <c r="E8" s="2"/>
      <c r="F8" s="2"/>
    </row>
    <row r="9" spans="2:6" ht="12.75">
      <c r="B9" s="5"/>
      <c r="C9" s="11"/>
      <c r="D9" s="6"/>
      <c r="E9" s="6"/>
      <c r="F9" s="12"/>
    </row>
    <row r="10" spans="1:6" ht="15" customHeight="1">
      <c r="A10" s="148" t="s">
        <v>55</v>
      </c>
      <c r="B10" s="148"/>
      <c r="C10" s="148"/>
      <c r="D10" s="148"/>
      <c r="E10" s="148"/>
      <c r="F10" s="148"/>
    </row>
    <row r="11" spans="1:6" ht="18">
      <c r="A11" s="148" t="s">
        <v>8</v>
      </c>
      <c r="B11" s="148"/>
      <c r="C11" s="148"/>
      <c r="D11" s="148"/>
      <c r="E11" s="148"/>
      <c r="F11" s="148"/>
    </row>
    <row r="12" spans="1:11" ht="15" customHeight="1">
      <c r="A12" s="158" t="s">
        <v>56</v>
      </c>
      <c r="B12" s="158"/>
      <c r="C12" s="158"/>
      <c r="D12" s="158"/>
      <c r="E12" s="158"/>
      <c r="F12" s="158"/>
      <c r="J12" s="159" t="s">
        <v>30</v>
      </c>
      <c r="K12" s="159"/>
    </row>
    <row r="13" ht="12.75"/>
    <row r="14" spans="1:11" ht="31.5" customHeight="1">
      <c r="A14" s="13" t="s">
        <v>0</v>
      </c>
      <c r="B14" s="13" t="s">
        <v>2</v>
      </c>
      <c r="C14" s="13" t="s">
        <v>11</v>
      </c>
      <c r="D14" s="14" t="s">
        <v>7</v>
      </c>
      <c r="E14" s="14" t="s">
        <v>5</v>
      </c>
      <c r="F14" s="15" t="s">
        <v>6</v>
      </c>
      <c r="J14" s="28" t="s">
        <v>31</v>
      </c>
      <c r="K14" s="28" t="s">
        <v>32</v>
      </c>
    </row>
    <row r="15" spans="1:6" ht="15" customHeight="1">
      <c r="A15" s="10" t="s">
        <v>57</v>
      </c>
      <c r="B15" s="30"/>
      <c r="C15" s="18"/>
      <c r="D15" s="31"/>
      <c r="E15" s="16"/>
      <c r="F15" s="17"/>
    </row>
    <row r="16" spans="1:7" ht="44.25">
      <c r="A16" s="10">
        <v>17</v>
      </c>
      <c r="B16" s="26" t="s">
        <v>48</v>
      </c>
      <c r="C16" s="20" t="s">
        <v>47</v>
      </c>
      <c r="D16" s="39">
        <v>3</v>
      </c>
      <c r="E16" s="21">
        <v>1000</v>
      </c>
      <c r="F16" s="21">
        <f>D16*E16</f>
        <v>3000</v>
      </c>
      <c r="G16" s="1">
        <v>3000</v>
      </c>
    </row>
    <row r="17" spans="1:7" ht="15">
      <c r="A17" s="10">
        <v>18</v>
      </c>
      <c r="B17" s="26" t="s">
        <v>50</v>
      </c>
      <c r="C17" s="20" t="s">
        <v>27</v>
      </c>
      <c r="D17" s="39">
        <v>75</v>
      </c>
      <c r="E17" s="21">
        <f>200/1.2</f>
        <v>166.66666666666669</v>
      </c>
      <c r="F17" s="21">
        <f aca="true" t="shared" si="0" ref="F17:F22">E17*D17</f>
        <v>12500.000000000002</v>
      </c>
      <c r="G17" s="3">
        <f>F17</f>
        <v>12500.000000000002</v>
      </c>
    </row>
    <row r="18" spans="1:8" ht="15">
      <c r="A18" s="10"/>
      <c r="B18" s="25" t="s">
        <v>51</v>
      </c>
      <c r="C18" s="20" t="s">
        <v>1</v>
      </c>
      <c r="D18" s="39">
        <v>340</v>
      </c>
      <c r="E18" s="21">
        <f>9.28*1.1</f>
        <v>10.208</v>
      </c>
      <c r="F18" s="21">
        <f t="shared" si="0"/>
        <v>3470.7200000000003</v>
      </c>
      <c r="H18" s="3">
        <f>F18</f>
        <v>3470.7200000000003</v>
      </c>
    </row>
    <row r="19" spans="1:8" ht="15">
      <c r="A19" s="10"/>
      <c r="B19" s="25" t="s">
        <v>52</v>
      </c>
      <c r="C19" s="20" t="s">
        <v>25</v>
      </c>
      <c r="D19" s="39">
        <v>75</v>
      </c>
      <c r="E19" s="21">
        <f>39.02*1.1/25</f>
        <v>1.7168800000000002</v>
      </c>
      <c r="F19" s="21">
        <f t="shared" si="0"/>
        <v>128.76600000000002</v>
      </c>
      <c r="H19" s="3">
        <f>F19</f>
        <v>128.76600000000002</v>
      </c>
    </row>
    <row r="20" spans="1:7" ht="30">
      <c r="A20" s="38">
        <v>19</v>
      </c>
      <c r="B20" s="26" t="s">
        <v>53</v>
      </c>
      <c r="C20" s="20" t="s">
        <v>1</v>
      </c>
      <c r="D20" s="39">
        <v>2</v>
      </c>
      <c r="E20" s="21">
        <v>250</v>
      </c>
      <c r="F20" s="21">
        <f t="shared" si="0"/>
        <v>500</v>
      </c>
      <c r="G20" s="3">
        <f>F20</f>
        <v>500</v>
      </c>
    </row>
    <row r="21" spans="1:7" ht="30">
      <c r="A21" s="10"/>
      <c r="B21" s="26" t="s">
        <v>54</v>
      </c>
      <c r="C21" s="20" t="s">
        <v>47</v>
      </c>
      <c r="D21" s="39">
        <v>1</v>
      </c>
      <c r="E21" s="21">
        <v>500</v>
      </c>
      <c r="F21" s="21">
        <f t="shared" si="0"/>
        <v>500</v>
      </c>
      <c r="G21" s="3"/>
    </row>
    <row r="22" spans="1:7" ht="15" customHeight="1">
      <c r="A22" s="10">
        <v>20</v>
      </c>
      <c r="B22" s="22" t="s">
        <v>39</v>
      </c>
      <c r="C22" s="23" t="s">
        <v>38</v>
      </c>
      <c r="D22" s="32">
        <v>1</v>
      </c>
      <c r="E22" s="24">
        <v>990</v>
      </c>
      <c r="F22" s="24">
        <f t="shared" si="0"/>
        <v>990</v>
      </c>
      <c r="G22" s="3">
        <f>F22</f>
        <v>990</v>
      </c>
    </row>
    <row r="23" spans="1:6" ht="15" customHeight="1">
      <c r="A23" s="33" t="s">
        <v>44</v>
      </c>
      <c r="B23" s="1"/>
      <c r="D23" s="1"/>
      <c r="E23" s="34"/>
      <c r="F23" s="34"/>
    </row>
    <row r="24" spans="1:12" ht="15">
      <c r="A24" s="39">
        <v>21</v>
      </c>
      <c r="B24" s="38" t="s">
        <v>40</v>
      </c>
      <c r="C24" s="35" t="s">
        <v>27</v>
      </c>
      <c r="D24" s="36">
        <v>80.28</v>
      </c>
      <c r="E24" s="36">
        <f>5/1.2</f>
        <v>4.166666666666667</v>
      </c>
      <c r="F24" s="21">
        <f>E24*D24</f>
        <v>334.50000000000006</v>
      </c>
      <c r="G24" s="3">
        <f>F24</f>
        <v>334.50000000000006</v>
      </c>
      <c r="J24" s="28">
        <v>60</v>
      </c>
      <c r="K24" s="28">
        <f>D24*J24</f>
        <v>4816.8</v>
      </c>
      <c r="L24" s="40" t="s">
        <v>46</v>
      </c>
    </row>
    <row r="25" spans="1:7" ht="30">
      <c r="A25" s="39">
        <v>22</v>
      </c>
      <c r="B25" s="26" t="s">
        <v>45</v>
      </c>
      <c r="C25" s="35" t="s">
        <v>27</v>
      </c>
      <c r="D25" s="36">
        <f>3.4*0.3*8+6.8*0.3*2</f>
        <v>12.24</v>
      </c>
      <c r="E25" s="36">
        <f>25/1.2</f>
        <v>20.833333333333336</v>
      </c>
      <c r="F25" s="21">
        <f>E25*D25</f>
        <v>255.00000000000003</v>
      </c>
      <c r="G25" s="3">
        <f>F25</f>
        <v>255.00000000000003</v>
      </c>
    </row>
    <row r="26" spans="1:8" ht="14.25">
      <c r="A26" s="39"/>
      <c r="B26" s="37" t="s">
        <v>41</v>
      </c>
      <c r="C26" s="35" t="s">
        <v>25</v>
      </c>
      <c r="D26" s="36">
        <f>D25*8.17</f>
        <v>100.0008</v>
      </c>
      <c r="E26" s="36">
        <f>319.42/1.2*1.1/25</f>
        <v>11.712066666666667</v>
      </c>
      <c r="F26" s="21">
        <f>E26*D26</f>
        <v>1171.21603632</v>
      </c>
      <c r="G26" s="3"/>
      <c r="H26" s="3">
        <f>F26</f>
        <v>1171.21603632</v>
      </c>
    </row>
    <row r="27" spans="1:7" ht="15">
      <c r="A27" s="39">
        <v>23</v>
      </c>
      <c r="B27" s="38" t="s">
        <v>42</v>
      </c>
      <c r="C27" s="35" t="s">
        <v>27</v>
      </c>
      <c r="D27" s="36">
        <v>80.28</v>
      </c>
      <c r="E27" s="36">
        <f>120/1.2</f>
        <v>100</v>
      </c>
      <c r="F27" s="21">
        <f>E27*D27</f>
        <v>8028</v>
      </c>
      <c r="G27" s="3">
        <f>F27</f>
        <v>8028</v>
      </c>
    </row>
    <row r="28" spans="1:8" ht="14.25">
      <c r="A28" s="19"/>
      <c r="B28" s="37" t="s">
        <v>43</v>
      </c>
      <c r="C28" s="35" t="s">
        <v>25</v>
      </c>
      <c r="D28" s="36">
        <v>825</v>
      </c>
      <c r="E28" s="36">
        <f>40.95/1.2*1.1/25</f>
        <v>1.5015000000000003</v>
      </c>
      <c r="F28" s="21">
        <f>E28*D28</f>
        <v>1238.7375000000002</v>
      </c>
      <c r="G28" s="3"/>
      <c r="H28" s="3">
        <f>F28</f>
        <v>1238.7375000000002</v>
      </c>
    </row>
    <row r="29" spans="1:6" ht="15" customHeight="1">
      <c r="A29" s="7"/>
      <c r="B29" s="157" t="s">
        <v>18</v>
      </c>
      <c r="C29" s="157"/>
      <c r="D29" s="157"/>
      <c r="E29" s="157"/>
      <c r="F29" s="8">
        <f>SUM(G15:G28)</f>
        <v>25607.5</v>
      </c>
    </row>
    <row r="30" spans="1:6" ht="15" customHeight="1">
      <c r="A30" s="7"/>
      <c r="B30" s="157" t="s">
        <v>19</v>
      </c>
      <c r="C30" s="157"/>
      <c r="D30" s="157"/>
      <c r="E30" s="157"/>
      <c r="F30" s="8">
        <f>SUM(H15:H28)</f>
        <v>6009.439536320001</v>
      </c>
    </row>
    <row r="31" spans="1:6" ht="15" customHeight="1">
      <c r="A31" s="7"/>
      <c r="B31" s="157" t="s">
        <v>28</v>
      </c>
      <c r="C31" s="157"/>
      <c r="D31" s="157"/>
      <c r="E31" s="157"/>
      <c r="F31" s="8">
        <f>F29/100*4</f>
        <v>1024.3</v>
      </c>
    </row>
    <row r="32" spans="1:6" ht="15" customHeight="1">
      <c r="A32" s="9"/>
      <c r="B32" s="157" t="s">
        <v>20</v>
      </c>
      <c r="C32" s="157"/>
      <c r="D32" s="157"/>
      <c r="E32" s="157"/>
      <c r="F32" s="8">
        <f>F29+F30+F31</f>
        <v>32641.23953632</v>
      </c>
    </row>
    <row r="33" spans="1:6" ht="15" customHeight="1">
      <c r="A33" s="9"/>
      <c r="B33" s="152" t="s">
        <v>22</v>
      </c>
      <c r="C33" s="153"/>
      <c r="D33" s="153"/>
      <c r="E33" s="154"/>
      <c r="F33" s="8">
        <f>F32*0.2</f>
        <v>6528.247907264001</v>
      </c>
    </row>
    <row r="34" spans="1:14" ht="15" customHeight="1">
      <c r="A34" s="9"/>
      <c r="B34" s="157" t="s">
        <v>21</v>
      </c>
      <c r="C34" s="157"/>
      <c r="D34" s="157"/>
      <c r="E34" s="157"/>
      <c r="F34" s="8">
        <f>SUM(F32:F33)</f>
        <v>39169.487443584</v>
      </c>
      <c r="H34" s="1">
        <f>(F29+F31)*1.2</f>
        <v>31958.159999999996</v>
      </c>
      <c r="J34" s="41" t="s">
        <v>33</v>
      </c>
      <c r="K34" s="29">
        <f>F34-F30*1.2</f>
        <v>31958.160000000003</v>
      </c>
      <c r="N34" s="42" t="s">
        <v>49</v>
      </c>
    </row>
    <row r="35" spans="3:11" ht="15" customHeight="1">
      <c r="C35" s="155"/>
      <c r="D35" s="155"/>
      <c r="E35" s="155"/>
      <c r="F35" s="155"/>
      <c r="J35" s="41" t="s">
        <v>35</v>
      </c>
      <c r="K35" s="29">
        <f>K34/100*14</f>
        <v>4474.142400000001</v>
      </c>
    </row>
    <row r="36" spans="2:11" ht="15" customHeight="1">
      <c r="B36" s="5" t="s">
        <v>3</v>
      </c>
      <c r="C36" s="156" t="s">
        <v>4</v>
      </c>
      <c r="D36" s="156"/>
      <c r="E36" s="156"/>
      <c r="F36" s="156"/>
      <c r="J36" s="41" t="s">
        <v>34</v>
      </c>
      <c r="K36" s="29">
        <f>K34-K35</f>
        <v>27484.017600000003</v>
      </c>
    </row>
    <row r="37" spans="2:11" ht="15" customHeight="1">
      <c r="B37" s="5"/>
      <c r="C37" s="156"/>
      <c r="D37" s="156"/>
      <c r="E37" s="156"/>
      <c r="F37" s="156"/>
      <c r="J37" s="41" t="s">
        <v>36</v>
      </c>
      <c r="K37" s="28">
        <f>K36/100*10</f>
        <v>2748.4017600000006</v>
      </c>
    </row>
    <row r="38" spans="2:11" ht="15" customHeight="1">
      <c r="B38" s="5" t="s">
        <v>23</v>
      </c>
      <c r="C38" s="156" t="s">
        <v>24</v>
      </c>
      <c r="D38" s="156"/>
      <c r="E38" s="156"/>
      <c r="F38" s="156"/>
      <c r="J38" s="41" t="s">
        <v>37</v>
      </c>
      <c r="K38" s="29">
        <f>K36-K37-K24</f>
        <v>19918.815840000003</v>
      </c>
    </row>
    <row r="39" spans="2:6" ht="15" customHeight="1">
      <c r="B39" s="5"/>
      <c r="C39" s="156"/>
      <c r="D39" s="156"/>
      <c r="E39" s="156"/>
      <c r="F39" s="156"/>
    </row>
    <row r="40" spans="2:6" ht="15" customHeight="1">
      <c r="B40" s="5" t="s">
        <v>16</v>
      </c>
      <c r="C40" s="156" t="s">
        <v>29</v>
      </c>
      <c r="D40" s="156"/>
      <c r="E40" s="156"/>
      <c r="F40" s="156"/>
    </row>
    <row r="41" spans="2:6" ht="15" customHeight="1">
      <c r="B41" s="5" t="s">
        <v>26</v>
      </c>
      <c r="C41" s="156" t="s">
        <v>26</v>
      </c>
      <c r="D41" s="156"/>
      <c r="E41" s="156"/>
      <c r="F41" s="156"/>
    </row>
  </sheetData>
  <sheetProtection/>
  <autoFilter ref="A14:F14"/>
  <mergeCells count="20">
    <mergeCell ref="J12:K12"/>
    <mergeCell ref="C35:F35"/>
    <mergeCell ref="B29:E29"/>
    <mergeCell ref="B30:E30"/>
    <mergeCell ref="C41:F41"/>
    <mergeCell ref="C36:F36"/>
    <mergeCell ref="C38:F38"/>
    <mergeCell ref="C40:F40"/>
    <mergeCell ref="B31:E31"/>
    <mergeCell ref="C39:F39"/>
    <mergeCell ref="C37:F37"/>
    <mergeCell ref="B32:E32"/>
    <mergeCell ref="B33:E33"/>
    <mergeCell ref="D1:F1"/>
    <mergeCell ref="B7:F7"/>
    <mergeCell ref="B6:F6"/>
    <mergeCell ref="B34:E34"/>
    <mergeCell ref="A11:F11"/>
    <mergeCell ref="A12:F12"/>
    <mergeCell ref="A10:F10"/>
  </mergeCells>
  <printOptions/>
  <pageMargins left="0.2755905511811024" right="0.31496062992125984" top="0" bottom="0" header="0" footer="0.5118110236220472"/>
  <pageSetup horizontalDpi="300" verticalDpi="300" orientation="portrait" paperSize="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36.875" style="0" bestFit="1" customWidth="1"/>
    <col min="2" max="2" width="4.00390625" style="0" bestFit="1" customWidth="1"/>
    <col min="3" max="3" width="3.75390625" style="0" bestFit="1" customWidth="1"/>
    <col min="4" max="4" width="6.00390625" style="0" bestFit="1" customWidth="1"/>
    <col min="5" max="5" width="5.25390625" style="0" bestFit="1" customWidth="1"/>
    <col min="6" max="6" width="6.00390625" style="0" bestFit="1" customWidth="1"/>
    <col min="7" max="8" width="13.875" style="0" customWidth="1"/>
    <col min="9" max="9" width="8.25390625" style="0" bestFit="1" customWidth="1"/>
    <col min="10" max="10" width="11.125" style="185" customWidth="1"/>
  </cols>
  <sheetData>
    <row r="2" spans="1:9" ht="12.75">
      <c r="A2" t="s">
        <v>196</v>
      </c>
      <c r="B2">
        <v>3</v>
      </c>
      <c r="C2" t="s">
        <v>192</v>
      </c>
      <c r="D2">
        <v>66.95</v>
      </c>
      <c r="E2" t="s">
        <v>58</v>
      </c>
      <c r="F2">
        <v>4500</v>
      </c>
      <c r="G2" t="s">
        <v>193</v>
      </c>
      <c r="H2" s="185">
        <f>F2*D2*B2</f>
        <v>903825</v>
      </c>
      <c r="I2" t="s">
        <v>184</v>
      </c>
    </row>
    <row r="3" spans="1:9" ht="12.75">
      <c r="A3" t="s">
        <v>194</v>
      </c>
      <c r="B3">
        <v>3</v>
      </c>
      <c r="C3" t="s">
        <v>192</v>
      </c>
      <c r="D3">
        <v>10</v>
      </c>
      <c r="E3" t="s">
        <v>183</v>
      </c>
      <c r="F3">
        <v>1836</v>
      </c>
      <c r="G3" t="s">
        <v>184</v>
      </c>
      <c r="H3" s="185">
        <f>F3*D3*B3</f>
        <v>55080</v>
      </c>
      <c r="I3" t="s">
        <v>184</v>
      </c>
    </row>
    <row r="4" spans="1:9" ht="12.75">
      <c r="A4" t="s">
        <v>195</v>
      </c>
      <c r="H4" s="185">
        <v>27000</v>
      </c>
      <c r="I4" t="s">
        <v>184</v>
      </c>
    </row>
    <row r="5" spans="1:9" ht="12.75">
      <c r="A5" t="s">
        <v>185</v>
      </c>
      <c r="H5" s="185">
        <f>2700*3</f>
        <v>8100</v>
      </c>
      <c r="I5" t="s">
        <v>184</v>
      </c>
    </row>
    <row r="6" spans="1:9" ht="12.75">
      <c r="A6" t="s">
        <v>186</v>
      </c>
      <c r="H6" s="185">
        <v>27000</v>
      </c>
      <c r="I6" t="s">
        <v>184</v>
      </c>
    </row>
    <row r="7" spans="8:9" ht="12.75">
      <c r="H7" s="185">
        <f>SUM(H2:H6)</f>
        <v>1021005</v>
      </c>
      <c r="I7" t="s">
        <v>184</v>
      </c>
    </row>
    <row r="9" spans="1:9" ht="12.75">
      <c r="A9" s="190" t="s">
        <v>198</v>
      </c>
      <c r="B9">
        <v>3.5</v>
      </c>
      <c r="C9" t="s">
        <v>197</v>
      </c>
      <c r="F9">
        <v>54000</v>
      </c>
      <c r="G9" t="s">
        <v>199</v>
      </c>
      <c r="H9" s="185">
        <f>F9*B9</f>
        <v>189000</v>
      </c>
      <c r="I9" t="s">
        <v>184</v>
      </c>
    </row>
    <row r="10" ht="12.75">
      <c r="H10" s="185"/>
    </row>
    <row r="11" spans="1:9" ht="12.75">
      <c r="A11" s="186" t="s">
        <v>203</v>
      </c>
      <c r="B11">
        <v>3</v>
      </c>
      <c r="C11" t="s">
        <v>192</v>
      </c>
      <c r="D11">
        <v>66.95</v>
      </c>
      <c r="E11" t="s">
        <v>58</v>
      </c>
      <c r="F11">
        <f>H11/(D2*B2)</f>
        <v>6024.421209858102</v>
      </c>
      <c r="G11" t="s">
        <v>193</v>
      </c>
      <c r="H11" s="185">
        <f>H9+H7</f>
        <v>1210005</v>
      </c>
      <c r="I11" t="s">
        <v>184</v>
      </c>
    </row>
    <row r="12" spans="1:9" ht="12.75">
      <c r="A12" s="186"/>
      <c r="F12">
        <f>F11/27</f>
        <v>223.126711476226</v>
      </c>
      <c r="G12" t="s">
        <v>204</v>
      </c>
      <c r="H12" s="185">
        <f>H11/27</f>
        <v>44815</v>
      </c>
      <c r="I12" t="s">
        <v>200</v>
      </c>
    </row>
    <row r="14" spans="1:11" ht="12.75">
      <c r="A14" s="187" t="s">
        <v>201</v>
      </c>
      <c r="B14">
        <v>3</v>
      </c>
      <c r="C14" t="s">
        <v>192</v>
      </c>
      <c r="D14">
        <v>66.95</v>
      </c>
      <c r="E14" t="s">
        <v>58</v>
      </c>
      <c r="F14">
        <v>10000</v>
      </c>
      <c r="G14" t="s">
        <v>193</v>
      </c>
      <c r="H14">
        <f>D14*F14</f>
        <v>669500</v>
      </c>
      <c r="I14" t="s">
        <v>184</v>
      </c>
      <c r="J14" s="185">
        <f>F14*D14*B14</f>
        <v>2008500</v>
      </c>
      <c r="K14" t="s">
        <v>184</v>
      </c>
    </row>
    <row r="15" spans="1:11" ht="12.75">
      <c r="A15" s="187"/>
      <c r="F15">
        <f>F14/27</f>
        <v>370.3703703703704</v>
      </c>
      <c r="G15" t="s">
        <v>204</v>
      </c>
      <c r="H15" s="185">
        <f>H14/27</f>
        <v>24796.296296296296</v>
      </c>
      <c r="I15" t="s">
        <v>200</v>
      </c>
      <c r="J15" s="185">
        <f>J14/27</f>
        <v>74388.88888888889</v>
      </c>
      <c r="K15" t="s">
        <v>200</v>
      </c>
    </row>
    <row r="17" spans="1:9" ht="12.75">
      <c r="A17" s="187" t="s">
        <v>202</v>
      </c>
      <c r="B17" s="187"/>
      <c r="C17" s="187"/>
      <c r="D17" s="187"/>
      <c r="E17" s="187"/>
      <c r="F17" s="188">
        <f>F14-F11</f>
        <v>3975.578790141898</v>
      </c>
      <c r="G17" s="188" t="str">
        <f>G11</f>
        <v>грн/м.кв.</v>
      </c>
      <c r="H17" s="189">
        <f>J14-H11</f>
        <v>798495</v>
      </c>
      <c r="I17" s="188" t="s">
        <v>184</v>
      </c>
    </row>
    <row r="18" spans="1:9" ht="12.75">
      <c r="A18" s="187"/>
      <c r="B18" s="187"/>
      <c r="C18" s="187"/>
      <c r="D18" s="187"/>
      <c r="E18" s="187"/>
      <c r="F18" s="188">
        <f>F15-F12</f>
        <v>147.24365889414437</v>
      </c>
      <c r="G18" s="188" t="s">
        <v>204</v>
      </c>
      <c r="H18" s="189">
        <f>J15-H12</f>
        <v>29573.88888888889</v>
      </c>
      <c r="I18" s="188" t="s">
        <v>200</v>
      </c>
    </row>
  </sheetData>
  <sheetProtection/>
  <mergeCells count="3">
    <mergeCell ref="A17:E18"/>
    <mergeCell ref="A14:A15"/>
    <mergeCell ref="A11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Voiri</cp:lastModifiedBy>
  <cp:lastPrinted>2017-02-23T13:50:36Z</cp:lastPrinted>
  <dcterms:created xsi:type="dcterms:W3CDTF">2010-03-04T13:20:51Z</dcterms:created>
  <dcterms:modified xsi:type="dcterms:W3CDTF">2017-03-21T14:24:02Z</dcterms:modified>
  <cp:category/>
  <cp:version/>
  <cp:contentType/>
  <cp:contentStatus/>
</cp:coreProperties>
</file>